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 Id="rId4"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157" documentId="8_{60D36132-8DF3-4304-91E8-7D3AB41B577F}" xr6:coauthVersionLast="47" xr6:coauthVersionMax="47" xr10:uidLastSave="{ABB701DB-8E33-44A0-9D21-61F560169831}"/>
  <bookViews>
    <workbookView xWindow="45" yWindow="450" windowWidth="16875" windowHeight="14550" tabRatio="867" xr2:uid="{00000000-000D-0000-FFFF-FFFF00000000}"/>
  </bookViews>
  <sheets>
    <sheet name="基本情報入力シート" sheetId="73" r:id="rId1"/>
    <sheet name="別紙様式2-1 （総括表）" sheetId="91" r:id="rId2"/>
    <sheet name="別紙様式2-2（個票（４、５月））" sheetId="95" r:id="rId3"/>
    <sheet name="別紙様式2-3（個票（６月以降））" sheetId="99" r:id="rId4"/>
    <sheet name="参考（キャリアパス要件概要及びキャリアパス・賃金既定例）" sheetId="89" r:id="rId5"/>
    <sheet name="【参考】数式用" sheetId="81" state="hidden" r:id="rId6"/>
  </sheets>
  <definedNames>
    <definedName name="_xlnm._FilterDatabase" localSheetId="5" hidden="1">【参考】数式用!#REF!</definedName>
    <definedName name="_xlnm._FilterDatabase" localSheetId="2" hidden="1">'別紙様式2-2（個票（４、５月））'!$BE$11:$BE$12</definedName>
    <definedName name="_xlnm._FilterDatabase" localSheetId="3" hidden="1">'別紙様式2-3（個票（６月以降））'!$BI$11:$BI$12</definedName>
    <definedName name="_xlnm.Print_Area" localSheetId="0">基本情報入力シート!$A$1:$AG$139</definedName>
    <definedName name="_xlnm.Print_Area" localSheetId="4">'参考（キャリアパス要件概要及びキャリアパス・賃金既定例）'!$A$1:$J$29</definedName>
    <definedName name="_xlnm.Print_Area" localSheetId="1">'別紙様式2-1 （総括表）'!$A:$AL</definedName>
    <definedName name="_xlnm.Print_Area" localSheetId="2">'別紙様式2-2（個票（４、５月））'!$A$1:$AL$111</definedName>
    <definedName name="_xlnm.Print_Area" localSheetId="3">'別紙様式2-3（個票（６月以降））'!$A$1:$AL$111</definedName>
    <definedName name="_xlnm.Print_Titles" localSheetId="2">'別紙様式2-2（個票（４、５月））'!$10:$11</definedName>
    <definedName name="_xlnm.Print_Titles" localSheetId="3">'別紙様式2-3（個票（６月以降））'!$10:$11</definedName>
    <definedName name="キャリアパス要件Ⅰ・Ⅱ_加算対象">【参考】数式用!$BF$11:$BF$14</definedName>
    <definedName name="キャリアパス要件Ⅰ・Ⅱ_加算対象外">【参考】数式用!$BF$16:$BF$19</definedName>
    <definedName name="サービスコード">【参考】数式用!$B$4:$B$57</definedName>
    <definedName name="サービス区分">【参考】数式用!$A$4:$A$57</definedName>
    <definedName name="愛知県">【参考】数式用!$W$993:$W$1046</definedName>
    <definedName name="愛媛県">【参考】数式用!$W$1422:$W$1441</definedName>
    <definedName name="茨城県">【参考】数式用!$W$415:$W$458</definedName>
    <definedName name="岡山県">【参考】数式用!$W$1312:$W$1338</definedName>
    <definedName name="沖縄県">【参考】数式用!$W$1709:$W$1749</definedName>
    <definedName name="加算対象">【参考】数式用!$Q$4:$Q$9</definedName>
    <definedName name="加算対象外">【参考】数式用!$R$4:$R$9</definedName>
    <definedName name="介護医療院サービスⅤ">【参考】数式用!$AT$38:$AV$38</definedName>
    <definedName name="介護医療院サービスR8">【参考】数式用!$AZ$38:$BD$38</definedName>
    <definedName name="介護予防ケアマネジメントR8">【参考】数式用!$AZ$50:$BC$50</definedName>
    <definedName name="介護予防支援R8">【参考】数式用!$AZ$56:$BC$56</definedName>
    <definedName name="介護予防小規模多機能型居宅介護_短期利用型_Ⅴ">【参考】数式用!$AT$22:$AV$22</definedName>
    <definedName name="介護予防小規模多機能型居宅介護_短期利用型_R8">【参考】数式用!$AZ$22:$BD$22</definedName>
    <definedName name="介護予防小規模多機能型居宅介護Ⅴ">【参考】数式用!$AT$21:$AV$21</definedName>
    <definedName name="介護予防小規模多機能型居宅介護R8">【参考】数式用!$AZ$21:$BD$21</definedName>
    <definedName name="介護予防短期入所生活介護Ⅴ">【参考】数式用!$AT$32:$AV$32</definedName>
    <definedName name="介護予防短期入所生活介護R8">【参考】数式用!$AZ$32:$BD$32</definedName>
    <definedName name="介護予防短期入所療養介護_介護医療院_Ⅴ">【参考】数式用!$AT$40:$AV$40</definedName>
    <definedName name="介護予防短期入所療養介護_介護医療院_R8">【参考】数式用!$AZ$40:$BD$40</definedName>
    <definedName name="介護予防短期入所療養介護_介護老人保健施設_Ⅴ">【参考】数式用!$AT$35:$AV$35</definedName>
    <definedName name="介護予防短期入所療養介護_介護老人保健施設_R8">【参考】数式用!$AZ$35:$BD$35</definedName>
    <definedName name="介護予防短期入所療養介護_病院等_老健以外__Ⅴ">【参考】数式用!$AT$37:$AV$37</definedName>
    <definedName name="介護予防短期入所療養介護_病院等_老健以外__R8">【参考】数式用!$AZ$37:$BD$37</definedName>
    <definedName name="介護予防通所リハビリテーションⅤ">【参考】数式用!$AT$11:$AV$11</definedName>
    <definedName name="介護予防通所リハビリテーションR8">【参考】数式用!$AZ$11:$BD$11</definedName>
    <definedName name="介護予防特定施設入居者生活介護Ⅴ">【参考】数式用!$AT$14:$AV$14</definedName>
    <definedName name="介護予防特定施設入居者生活介護R8">【参考】数式用!$AZ$14:$BD$14</definedName>
    <definedName name="介護予防認知症対応型共同生活介護_短期利用型_Ⅴ">【参考】数式用!$AT$28:$AV$28</definedName>
    <definedName name="介護予防認知症対応型共同生活介護_短期利用型_R8">【参考】数式用!$AZ$28:$BD$28</definedName>
    <definedName name="介護予防認知症対応型共同生活介護Ⅴ">【参考】数式用!$AT$27:$AV$27</definedName>
    <definedName name="介護予防認知症対応型共同生活介護R8">【参考】数式用!$AZ$27:$BD$27</definedName>
    <definedName name="介護予防認知症対応型通所介護Ⅴ">【参考】数式用!$AT$18:$AV$18</definedName>
    <definedName name="介護予防認知症対応型通所介護R8">【参考】数式用!$AZ$18:$BD$18</definedName>
    <definedName name="介護予防訪問リハビリテーションR8">【参考】数式用!$AZ$54:$BC$54</definedName>
    <definedName name="介護予防訪問看護R8">【参考】数式用!$AZ$52:$BC$52</definedName>
    <definedName name="介護予防訪問入浴介護Ⅴ">【参考】数式用!$AT$7:$AV$7</definedName>
    <definedName name="介護予防訪問入浴介護R8">【参考】数式用!$AZ$7:$BD$7</definedName>
    <definedName name="介護老人福祉施設サービスⅤ">【参考】数式用!$AT$29:$AV$29</definedName>
    <definedName name="介護老人福祉施設サービスR8">【参考】数式用!$AZ$29:$BD$29</definedName>
    <definedName name="介護老人保健施設サービスⅤ">【参考】数式用!$AT$33:$AV$33</definedName>
    <definedName name="介護老人保健施設サービスR8">【参考】数式用!$AZ$33:$BD$33</definedName>
    <definedName name="岩手県">【参考】数式用!$W$228:$W$260</definedName>
    <definedName name="岐阜県">【参考】数式用!$W$916:$W$957</definedName>
    <definedName name="宮崎県">【参考】数式用!$W$1640:$W$1665</definedName>
    <definedName name="宮城県">【参考】数式用!$W$261:$W$295</definedName>
    <definedName name="居宅介護支援R8">【参考】数式用!$AZ$55:$BC$55</definedName>
    <definedName name="京都府">【参考】数式用!$W$1095:$W$1120</definedName>
    <definedName name="熊本県">【参考】数式用!$W$1577:$W$1621</definedName>
    <definedName name="群馬県">【参考】数式用!$W$484:$W$518</definedName>
    <definedName name="計算用">#REF!</definedName>
    <definedName name="広島県">【参考】数式用!$W$1339:$W$1361</definedName>
    <definedName name="香川県">【参考】数式用!$W$1405:$W$1421</definedName>
    <definedName name="高知県">【参考】数式用!$W$1442:$W$1475</definedName>
    <definedName name="佐賀県">【参考】数式用!$W$1536:$W$1555</definedName>
    <definedName name="埼玉県">【参考】数式用!$W$519:$W$581</definedName>
    <definedName name="三重県">【参考】数式用!$W$1047:$W$1075</definedName>
    <definedName name="山形県">【参考】数式用!$W$321:$W$355</definedName>
    <definedName name="山口県">【参考】数式用!$W$1362:$W$1380</definedName>
    <definedName name="山梨県">【参考】数式用!$W$812:$W$838</definedName>
    <definedName name="滋賀県">【参考】数式用!$W$1076:$W$1094</definedName>
    <definedName name="鹿児島県">【参考】数式用!$W$1666:$W$1708</definedName>
    <definedName name="秋田県">【参考】数式用!$W$296:$W$320</definedName>
    <definedName name="小規模多機能型居宅介護_短期利用型_Ⅴ">【参考】数式用!$AT$20:$AV$20</definedName>
    <definedName name="小規模多機能型居宅介護_短期利用型_R8">【参考】数式用!$AZ$20:$BD$20</definedName>
    <definedName name="小規模多機能型居宅介護Ⅴ">【参考】数式用!$AT$19:$AV$19</definedName>
    <definedName name="小規模多機能型居宅介護R8">【参考】数式用!$AZ$19:$BD$19</definedName>
    <definedName name="新潟県">【参考】数式用!$W$731:$W$760</definedName>
    <definedName name="神奈川県">【参考】数式用!$W$698:$W$730</definedName>
    <definedName name="青森県">【参考】数式用!$W$188:$W$227</definedName>
    <definedName name="静岡県">【参考】数式用!$W$958:$W$992</definedName>
    <definedName name="石川県">【参考】数式用!$W$776:$W$794</definedName>
    <definedName name="千葉県">【参考】数式用!$W$582:$W$635</definedName>
    <definedName name="大阪府">【参考】数式用!$W$1121:$W$1163</definedName>
    <definedName name="大分県">【参考】数式用!$W$1622:$W$1639</definedName>
    <definedName name="短期入所生活介護Ⅴ">【参考】数式用!$AT$31:$AV$31</definedName>
    <definedName name="短期入所生活介護R8">【参考】数式用!$AZ$31:$BD$31</definedName>
    <definedName name="短期入所療養介護_介護医療院_Ⅴ">【参考】数式用!$AT$39:$AV$39</definedName>
    <definedName name="短期入所療養介護_介護医療院_R8">【参考】数式用!$AZ$39:$BD$39</definedName>
    <definedName name="短期入所療養介護_介護老人保健施設_Ⅴ">【参考】数式用!$AT$34:$AV$34</definedName>
    <definedName name="短期入所療養介護_介護老人保健施設_R8">【参考】数式用!$AZ$34:$BD$34</definedName>
    <definedName name="短期入所療養介護_病院等_老健以外__Ⅴ">【参考】数式用!$AT$36:$AV$36</definedName>
    <definedName name="短期入所療養介護_病院等_老健以外__R8">【参考】数式用!$AZ$36:$BD$36</definedName>
    <definedName name="地域密着型介護老人福祉施設Ⅴ">【参考】数式用!$AT$30:$AV$30</definedName>
    <definedName name="地域密着型介護老人福祉施設R8">【参考】数式用!$AZ$30:$BD$30</definedName>
    <definedName name="地域密着型通所介護Ⅴ">【参考】数式用!$AT$9:$AV$9</definedName>
    <definedName name="地域密着型通所介護R8">【参考】数式用!$AZ$9:$BD$9</definedName>
    <definedName name="地域密着型特定施設入居者生活介護_Ⅴ">【参考】数式用!$AT$15:$AV$15</definedName>
    <definedName name="地域密着型特定施設入居者生活介護_短期利用型_Ⅴ">【参考】数式用!$AT$16:$AV$16</definedName>
    <definedName name="地域密着型特定施設入居者生活介護_短期利用型_R8">【参考】数式用!$AZ$16:$BD$16</definedName>
    <definedName name="地域密着型特定施設入居者生活介護R8">【参考】数式用!$AZ$15:$BD$15</definedName>
    <definedName name="長崎県">【参考】数式用!$W$1556:$W$1576</definedName>
    <definedName name="長野県">【参考】数式用!$W$839:$W$915</definedName>
    <definedName name="鳥取県">【参考】数式用!$W$1274:$W$1292</definedName>
    <definedName name="通所リハビリテーションⅤ">【参考】数式用!$AT$10:$AV$10</definedName>
    <definedName name="通所リハビリテーションR8">【参考】数式用!$AZ$10:$BD$10</definedName>
    <definedName name="通所介護Ⅴ">【参考】数式用!$AT$8:$AV$8</definedName>
    <definedName name="通所介護R8">【参考】数式用!$AZ$8:$BD$8</definedName>
    <definedName name="通所型サービス_独自__19人以上_R8">【参考】数式用!$AZ$44:$BD$44</definedName>
    <definedName name="通所型サービス_独自__19人未満_R8">【参考】数式用!$AZ$47:$BD$47</definedName>
    <definedName name="通所型サービス_独自_19人以上_Ⅴ">【参考】数式用!$AT$44:$AV$44</definedName>
    <definedName name="通所型サービス_独自_19人未満_Ⅴ">【参考】数式用!$AT$47:$AV$47</definedName>
    <definedName name="通所型サービス_独自_Ⅴ">【参考】数式用!$AT$44:$AV$44</definedName>
    <definedName name="通所型サービス_独自_R8">【参考】数式用!$AZ$44:$BD$44</definedName>
    <definedName name="通所型サービス_独自_定額__19人以上_R8">【参考】数式用!$AZ$46:$BD$46</definedName>
    <definedName name="通所型サービス_独自_定額__19人未満__R8">【参考】数式用!$AZ$49:$BD$49</definedName>
    <definedName name="通所型サービス_独自_定額_19人以上_Ⅴ">【参考】数式用!$AT$46:$AV$46</definedName>
    <definedName name="通所型サービス_独自_定額_19人未満_Ⅴ">【参考】数式用!$AT$49:$AV$49</definedName>
    <definedName name="通所型サービス_独自_定額_Ⅴ">【参考】数式用!$AT$46:$AV$46</definedName>
    <definedName name="通所型サービス_独自_定額_R8">【参考】数式用!$AZ$46:$BD$46</definedName>
    <definedName name="通所型サービス_独自_定率__19人以上_R8">【参考】数式用!$AZ$45:$BD$45</definedName>
    <definedName name="通所型サービス_独自_定率__19人未満_R8">【参考】数式用!$AZ$48:$BD$48</definedName>
    <definedName name="通所型サービス_独自_定率_19人以上_Ⅴ">【参考】数式用!$AT$45:$AV$45</definedName>
    <definedName name="通所型サービス_独自_定率_19人未満">【参考】数式用!$AT$48:$AV$48</definedName>
    <definedName name="通所型サービス_独自_定率_Ⅴ">【参考】数式用!$AT$45:$AV$45</definedName>
    <definedName name="通所型サービス_独自_定率_R8">【参考】数式用!$AZ$45:$BD$45</definedName>
    <definedName name="定期巡回・随時対応型訪問介護看護Ⅴ">【参考】数式用!$AT$5:$AV$5</definedName>
    <definedName name="定期巡回・随時対応型訪問介護看護R8">【参考】数式用!$AZ$5:$BD$5</definedName>
    <definedName name="都道府県">【参考】数式用!$AD$3:$AD$49</definedName>
    <definedName name="島根県">【参考】数式用!$W$1293:$W$1311</definedName>
    <definedName name="東京都">【参考】数式用!$W$636:$W$697</definedName>
    <definedName name="徳島県">【参考】数式用!$W$1381:$W$1404</definedName>
    <definedName name="特定施設入居者生活介護_短期利用型_Ⅴ">【参考】数式用!$AT$13:$AV$13</definedName>
    <definedName name="特定施設入居者生活介護_短期利用型_R8">【参考】数式用!$AZ$13:$BD$13</definedName>
    <definedName name="特定施設入居者生活介護Ⅴ">【参考】数式用!$AT$12:$AV$12</definedName>
    <definedName name="特定施設入居者生活介護R8">【参考】数式用!$AZ$12:$BD$12</definedName>
    <definedName name="栃木県">【参考】数式用!$W$459:$W$483</definedName>
    <definedName name="奈良県">【参考】数式用!$W$1205:$W$1243</definedName>
    <definedName name="認知症対応型共同生活介護_短期利用型_Ⅴ">【参考】数式用!$AT$26:$AV$26</definedName>
    <definedName name="認知症対応型共同生活介護_短期利用型_R8">【参考】数式用!$AZ$26:$BD$26</definedName>
    <definedName name="認知症対応型共同生活介護Ⅴ">【参考】数式用!$AT$25:$AV$25</definedName>
    <definedName name="認知症対応型共同生活介護R8">【参考】数式用!$AZ$25:$BD$25</definedName>
    <definedName name="認知症対応型通所介護Ⅴ">【参考】数式用!$AT$17:$AV$17</definedName>
    <definedName name="認知症対応型通所介護R8">【参考】数式用!$AZ$17:$BD$17</definedName>
    <definedName name="表２サービスコード">【参考】数式用!$A$4:$A$57</definedName>
    <definedName name="表７_キャリアパス要件Ⅳ_規定人数集計対象外リスト">【参考】数式用!$AO$3:$AO$49</definedName>
    <definedName name="富山県">【参考】数式用!$W$761:$W$775</definedName>
    <definedName name="福井県">【参考】数式用!$W$795:$W$811</definedName>
    <definedName name="福岡県">【参考】数式用!$W$1476:$W$1535</definedName>
    <definedName name="福島県">【参考】数式用!$W$356:$W$414</definedName>
    <definedName name="複合型サービス_看護小規模多機能型居宅介護_Ⅴ">【参考】数式用!$AT$23:$AV$23</definedName>
    <definedName name="複合型サービス_看護小規模多機能型居宅介護_R8">【参考】数式用!$AZ$23:$BD$23</definedName>
    <definedName name="複合型サービス_看護小規模多機能型居宅介護・短期利用型_Ⅴ">【参考】数式用!$AT$24:$AV$24</definedName>
    <definedName name="複合型サービス_看護小規模多機能型居宅介護・短期利用型_R8">【参考】数式用!$AZ$24:$BD$24</definedName>
    <definedName name="兵庫県">【参考】数式用!$W$1164:$W$1204</definedName>
    <definedName name="訪問リハビリテーションR8">【参考】数式用!$AZ$53:$BC$53</definedName>
    <definedName name="訪問介護">【参考】数式用!$AT$3:$AV$3</definedName>
    <definedName name="訪問介護Ⅴ">【参考】数式用!$AT$3:$AV$3</definedName>
    <definedName name="訪問介護R8">【参考】数式用!$AZ$3:$BD$3</definedName>
    <definedName name="訪問看護R8">【参考】数式用!$AZ$51:$BC$51</definedName>
    <definedName name="訪問型サービス_独自_Ⅴ">【参考】数式用!$AT$41:$AV$41</definedName>
    <definedName name="訪問型サービス_独自_R8">【参考】数式用!$AZ$41:$BD$41</definedName>
    <definedName name="訪問型サービス_独自_定額_Ⅴ">【参考】数式用!$AT$43:$AV$43</definedName>
    <definedName name="訪問型サービス_独自_定額_R8">【参考】数式用!$AZ$43:$BD$43</definedName>
    <definedName name="訪問型サービス_独自_定率_Ⅴ">【参考】数式用!$AT$42:$AV$42</definedName>
    <definedName name="訪問型サービス_独自_定率_R8">【参考】数式用!$AZ$42:$BD$42</definedName>
    <definedName name="訪問入浴介護Ⅴ">【参考】数式用!$AT$6:$AV$6</definedName>
    <definedName name="訪問入浴介護R8">【参考】数式用!$AZ$6:$BD$6</definedName>
    <definedName name="北海道">【参考】数式用!$W$3:$W$1749</definedName>
    <definedName name="夜間対応型訪問介護Ⅴ">【参考】数式用!$AT$4:$AV$4</definedName>
    <definedName name="夜間対応型訪問介護R8">【参考】数式用!$AZ$4:$BD$4</definedName>
    <definedName name="和歌山県">【参考】数式用!$W$1244:$W$1273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E13" i="99" l="1"/>
  <c r="BE14" i="99"/>
  <c r="BE15" i="99"/>
  <c r="BE16" i="99"/>
  <c r="BE17" i="99"/>
  <c r="BE18" i="99"/>
  <c r="BE19" i="99"/>
  <c r="BE20" i="99"/>
  <c r="BE21" i="99"/>
  <c r="BE22" i="99"/>
  <c r="BE23" i="99"/>
  <c r="BE24" i="99"/>
  <c r="BE25" i="99"/>
  <c r="BE26" i="99"/>
  <c r="BE27" i="99"/>
  <c r="BE28" i="99"/>
  <c r="BE29" i="99"/>
  <c r="BE30" i="99"/>
  <c r="BE31" i="99"/>
  <c r="BE32" i="99"/>
  <c r="BE33" i="99"/>
  <c r="BE34" i="99"/>
  <c r="BE35" i="99"/>
  <c r="BE36" i="99"/>
  <c r="BE37" i="99"/>
  <c r="BE38" i="99"/>
  <c r="BE39" i="99"/>
  <c r="BE40" i="99"/>
  <c r="BE41" i="99"/>
  <c r="BE42" i="99"/>
  <c r="BE43" i="99"/>
  <c r="BE44" i="99"/>
  <c r="BE45" i="99"/>
  <c r="BE46" i="99"/>
  <c r="BE47" i="99"/>
  <c r="BE48" i="99"/>
  <c r="BE49" i="99"/>
  <c r="BE50" i="99"/>
  <c r="BE51" i="99"/>
  <c r="BE52" i="99"/>
  <c r="BE53" i="99"/>
  <c r="BE54" i="99"/>
  <c r="BE55" i="99"/>
  <c r="BE56" i="99"/>
  <c r="BE57" i="99"/>
  <c r="BE58" i="99"/>
  <c r="BE59" i="99"/>
  <c r="BE60" i="99"/>
  <c r="BE61" i="99"/>
  <c r="BE62" i="99"/>
  <c r="BE63" i="99"/>
  <c r="BE64" i="99"/>
  <c r="BE65" i="99"/>
  <c r="BE66" i="99"/>
  <c r="BE67" i="99"/>
  <c r="BE68" i="99"/>
  <c r="BE69" i="99"/>
  <c r="BE70" i="99"/>
  <c r="BE71" i="99"/>
  <c r="BE72" i="99"/>
  <c r="BE73" i="99"/>
  <c r="BE74" i="99"/>
  <c r="BE75" i="99"/>
  <c r="BE76" i="99"/>
  <c r="BE77" i="99"/>
  <c r="BE78" i="99"/>
  <c r="BE79" i="99"/>
  <c r="BE80" i="99"/>
  <c r="BE81" i="99"/>
  <c r="BE82" i="99"/>
  <c r="BE83" i="99"/>
  <c r="BE84" i="99"/>
  <c r="BE85" i="99"/>
  <c r="BE86" i="99"/>
  <c r="BE87" i="99"/>
  <c r="BE88" i="99"/>
  <c r="BE89" i="99"/>
  <c r="BE90" i="99"/>
  <c r="BE91" i="99"/>
  <c r="BE92" i="99"/>
  <c r="BE93" i="99"/>
  <c r="BE94" i="99"/>
  <c r="BE95" i="99"/>
  <c r="BE96" i="99"/>
  <c r="BE97" i="99"/>
  <c r="BE98" i="99"/>
  <c r="BE99" i="99"/>
  <c r="BE100" i="99"/>
  <c r="BE101" i="99"/>
  <c r="BE102" i="99"/>
  <c r="BE103" i="99"/>
  <c r="BE104" i="99"/>
  <c r="BE105" i="99"/>
  <c r="BE106" i="99"/>
  <c r="BE107" i="99"/>
  <c r="BE108" i="99"/>
  <c r="BE109" i="99"/>
  <c r="BE110" i="99"/>
  <c r="BE111" i="99"/>
  <c r="BE12" i="99"/>
  <c r="BL12" i="99"/>
  <c r="BD12" i="99"/>
  <c r="BC13" i="95"/>
  <c r="BC14" i="95"/>
  <c r="BC15" i="95"/>
  <c r="BC16" i="95"/>
  <c r="BC17" i="95"/>
  <c r="BC18" i="95"/>
  <c r="BC19" i="95"/>
  <c r="BC20" i="95"/>
  <c r="BC21" i="95"/>
  <c r="BC22" i="95"/>
  <c r="BC23" i="95"/>
  <c r="BC24" i="95"/>
  <c r="BC25" i="95"/>
  <c r="BC26" i="95"/>
  <c r="BC27" i="95"/>
  <c r="BC28" i="95"/>
  <c r="BC29" i="95"/>
  <c r="BC30" i="95"/>
  <c r="BC31" i="95"/>
  <c r="BC32" i="95"/>
  <c r="BC33" i="95"/>
  <c r="BC34" i="95"/>
  <c r="BC35" i="95"/>
  <c r="BC36" i="95"/>
  <c r="BC37" i="95"/>
  <c r="BC38" i="95"/>
  <c r="BC39" i="95"/>
  <c r="BC40" i="95"/>
  <c r="BC41" i="95"/>
  <c r="BC42" i="95"/>
  <c r="BC43" i="95"/>
  <c r="BC44" i="95"/>
  <c r="BC45" i="95"/>
  <c r="BC46" i="95"/>
  <c r="BC47" i="95"/>
  <c r="BC48" i="95"/>
  <c r="BC49" i="95"/>
  <c r="BC50" i="95"/>
  <c r="BC51" i="95"/>
  <c r="BC52" i="95"/>
  <c r="BC53" i="95"/>
  <c r="BC54" i="95"/>
  <c r="BC55" i="95"/>
  <c r="BC56" i="95"/>
  <c r="BC57" i="95"/>
  <c r="BC58" i="95"/>
  <c r="BC59" i="95"/>
  <c r="BC60" i="95"/>
  <c r="BC61" i="95"/>
  <c r="BC62" i="95"/>
  <c r="BC63" i="95"/>
  <c r="BC64" i="95"/>
  <c r="BC65" i="95"/>
  <c r="BC66" i="95"/>
  <c r="BC67" i="95"/>
  <c r="BC68" i="95"/>
  <c r="BC69" i="95"/>
  <c r="BC70" i="95"/>
  <c r="BC71" i="95"/>
  <c r="BC72" i="95"/>
  <c r="BC73" i="95"/>
  <c r="BC74" i="95"/>
  <c r="BC75" i="95"/>
  <c r="BC76" i="95"/>
  <c r="BC77" i="95"/>
  <c r="BC78" i="95"/>
  <c r="BC79" i="95"/>
  <c r="BC80" i="95"/>
  <c r="BC81" i="95"/>
  <c r="BC82" i="95"/>
  <c r="BC83" i="95"/>
  <c r="BC84" i="95"/>
  <c r="BC85" i="95"/>
  <c r="BC86" i="95"/>
  <c r="BC87" i="95"/>
  <c r="BC88" i="95"/>
  <c r="BC89" i="95"/>
  <c r="BC90" i="95"/>
  <c r="BC91" i="95"/>
  <c r="BC92" i="95"/>
  <c r="BC93" i="95"/>
  <c r="BC94" i="95"/>
  <c r="BC95" i="95"/>
  <c r="BC96" i="95"/>
  <c r="BC97" i="95"/>
  <c r="BC98" i="95"/>
  <c r="BC99" i="95"/>
  <c r="BC100" i="95"/>
  <c r="BC101" i="95"/>
  <c r="BC102" i="95"/>
  <c r="BC103" i="95"/>
  <c r="BC104" i="95"/>
  <c r="BC105" i="95"/>
  <c r="BC106" i="95"/>
  <c r="BC107" i="95"/>
  <c r="BC108" i="95"/>
  <c r="BC109" i="95"/>
  <c r="BC110" i="95"/>
  <c r="BC111" i="95"/>
  <c r="BG12" i="95"/>
  <c r="BC12" i="95"/>
  <c r="BA90" i="91" l="1"/>
  <c r="BA81" i="91"/>
  <c r="BA77" i="91"/>
  <c r="BA73" i="91"/>
  <c r="BA69" i="91"/>
  <c r="BA65" i="91"/>
  <c r="BB12" i="95"/>
  <c r="AS13" i="95"/>
  <c r="AS14" i="95"/>
  <c r="AS15" i="95"/>
  <c r="AS16" i="95"/>
  <c r="AS17" i="95"/>
  <c r="AS18" i="95"/>
  <c r="AS19" i="95"/>
  <c r="AS20" i="95"/>
  <c r="AS21" i="95"/>
  <c r="AS22" i="95"/>
  <c r="AS23" i="95"/>
  <c r="AS24" i="95"/>
  <c r="AS25" i="95"/>
  <c r="AS26" i="95"/>
  <c r="AS27" i="95"/>
  <c r="AS28" i="95"/>
  <c r="AS29" i="95"/>
  <c r="AS30" i="95"/>
  <c r="AS31" i="95"/>
  <c r="AS32" i="95"/>
  <c r="AS33" i="95"/>
  <c r="AS34" i="95"/>
  <c r="AS35" i="95"/>
  <c r="AS36" i="95"/>
  <c r="AS37" i="95"/>
  <c r="AS38" i="95"/>
  <c r="AS39" i="95"/>
  <c r="AS40" i="95"/>
  <c r="AS41" i="95"/>
  <c r="AS42" i="95"/>
  <c r="AS43" i="95"/>
  <c r="AS44" i="95"/>
  <c r="AS45" i="95"/>
  <c r="AS46" i="95"/>
  <c r="AS47" i="95"/>
  <c r="AS48" i="95"/>
  <c r="AS49" i="95"/>
  <c r="AS50" i="95"/>
  <c r="AS51" i="95"/>
  <c r="AS52" i="95"/>
  <c r="AS53" i="95"/>
  <c r="AS54" i="95"/>
  <c r="AS55" i="95"/>
  <c r="AS56" i="95"/>
  <c r="AS57" i="95"/>
  <c r="AS58" i="95"/>
  <c r="AS59" i="95"/>
  <c r="AS60" i="95"/>
  <c r="AS61" i="95"/>
  <c r="AS62" i="95"/>
  <c r="AS63" i="95"/>
  <c r="AS64" i="95"/>
  <c r="AS65" i="95"/>
  <c r="AS66" i="95"/>
  <c r="AS67" i="95"/>
  <c r="AS68" i="95"/>
  <c r="AS69" i="95"/>
  <c r="AS70" i="95"/>
  <c r="AS71" i="95"/>
  <c r="AS72" i="95"/>
  <c r="AS73" i="95"/>
  <c r="AS74" i="95"/>
  <c r="AS75" i="95"/>
  <c r="AS76" i="95"/>
  <c r="AS77" i="95"/>
  <c r="AS78" i="95"/>
  <c r="AS79" i="95"/>
  <c r="AS80" i="95"/>
  <c r="AS81" i="95"/>
  <c r="AS82" i="95"/>
  <c r="AS83" i="95"/>
  <c r="AS84" i="95"/>
  <c r="AS85" i="95"/>
  <c r="AS86" i="95"/>
  <c r="AS87" i="95"/>
  <c r="AS88" i="95"/>
  <c r="AS89" i="95"/>
  <c r="AS90" i="95"/>
  <c r="AS91" i="95"/>
  <c r="AS92" i="95"/>
  <c r="AS93" i="95"/>
  <c r="AS94" i="95"/>
  <c r="AS95" i="95"/>
  <c r="AS96" i="95"/>
  <c r="AS97" i="95"/>
  <c r="AS98" i="95"/>
  <c r="AS99" i="95"/>
  <c r="AS100" i="95"/>
  <c r="AS101" i="95"/>
  <c r="AS102" i="95"/>
  <c r="AS103" i="95"/>
  <c r="AS104" i="95"/>
  <c r="AS105" i="95"/>
  <c r="AS106" i="95"/>
  <c r="AS107" i="95"/>
  <c r="AS108" i="95"/>
  <c r="AS109" i="95"/>
  <c r="AS110" i="95"/>
  <c r="AS111" i="95"/>
  <c r="AR17" i="95"/>
  <c r="AR18" i="95"/>
  <c r="AR19" i="95"/>
  <c r="AR20" i="95"/>
  <c r="AR21" i="95"/>
  <c r="AR22" i="95"/>
  <c r="AR23" i="95"/>
  <c r="AR24" i="95"/>
  <c r="AR25" i="95"/>
  <c r="AR26" i="95"/>
  <c r="AR27" i="95"/>
  <c r="AR28" i="95"/>
  <c r="AR29" i="95"/>
  <c r="AR30" i="95"/>
  <c r="AR31" i="95"/>
  <c r="AR32" i="95"/>
  <c r="AR33" i="95"/>
  <c r="AR34" i="95"/>
  <c r="AR35" i="95"/>
  <c r="AR36" i="95"/>
  <c r="AR37" i="95"/>
  <c r="AR38" i="95"/>
  <c r="AR39" i="95"/>
  <c r="AR40" i="95"/>
  <c r="AR41" i="95"/>
  <c r="AR42" i="95"/>
  <c r="AR43" i="95"/>
  <c r="AR44" i="95"/>
  <c r="AR45" i="95"/>
  <c r="AR46" i="95"/>
  <c r="AR47" i="95"/>
  <c r="AR48" i="95"/>
  <c r="AR49" i="95"/>
  <c r="AR50" i="95"/>
  <c r="AR51" i="95"/>
  <c r="AR52" i="95"/>
  <c r="AR53" i="95"/>
  <c r="AR54" i="95"/>
  <c r="AR55" i="95"/>
  <c r="AR56" i="95"/>
  <c r="AR57" i="95"/>
  <c r="AR58" i="95"/>
  <c r="AR59" i="95"/>
  <c r="AR60" i="95"/>
  <c r="AR61" i="95"/>
  <c r="AR62" i="95"/>
  <c r="AR63" i="95"/>
  <c r="AR64" i="95"/>
  <c r="AR65" i="95"/>
  <c r="AR66" i="95"/>
  <c r="AR67" i="95"/>
  <c r="AR68" i="95"/>
  <c r="AR69" i="95"/>
  <c r="AR70" i="95"/>
  <c r="AR71" i="95"/>
  <c r="AR72" i="95"/>
  <c r="AR73" i="95"/>
  <c r="AR74" i="95"/>
  <c r="AR75" i="95"/>
  <c r="AR76" i="95"/>
  <c r="AR77" i="95"/>
  <c r="AR78" i="95"/>
  <c r="AR79" i="95"/>
  <c r="AR80" i="95"/>
  <c r="AR81" i="95"/>
  <c r="AR82" i="95"/>
  <c r="AR83" i="95"/>
  <c r="AR84" i="95"/>
  <c r="AR85" i="95"/>
  <c r="AR86" i="95"/>
  <c r="AR87" i="95"/>
  <c r="AR88" i="95"/>
  <c r="AR89" i="95"/>
  <c r="AR90" i="95"/>
  <c r="AR91" i="95"/>
  <c r="AR92" i="95"/>
  <c r="AR93" i="95"/>
  <c r="AR94" i="95"/>
  <c r="AR95" i="95"/>
  <c r="AR96" i="95"/>
  <c r="AR97" i="95"/>
  <c r="AR98" i="95"/>
  <c r="AR99" i="95"/>
  <c r="AR100" i="95"/>
  <c r="AR101" i="95"/>
  <c r="AR102" i="95"/>
  <c r="AR103" i="95"/>
  <c r="AR104" i="95"/>
  <c r="AR105" i="95"/>
  <c r="AR106" i="95"/>
  <c r="AR107" i="95"/>
  <c r="AR108" i="95"/>
  <c r="AR109" i="95"/>
  <c r="AR110" i="95"/>
  <c r="AR111" i="95"/>
  <c r="AQ17" i="95"/>
  <c r="AQ18" i="95"/>
  <c r="AQ19" i="95"/>
  <c r="AQ20" i="95"/>
  <c r="AQ21" i="95"/>
  <c r="AQ22" i="95"/>
  <c r="AQ23" i="95"/>
  <c r="AQ24" i="95"/>
  <c r="AQ25" i="95"/>
  <c r="AQ26" i="95"/>
  <c r="AQ27" i="95"/>
  <c r="AQ28" i="95"/>
  <c r="AQ29" i="95"/>
  <c r="AQ30" i="95"/>
  <c r="AQ31" i="95"/>
  <c r="AQ32" i="95"/>
  <c r="AQ33" i="95"/>
  <c r="AQ34" i="95"/>
  <c r="AQ35" i="95"/>
  <c r="AQ36" i="95"/>
  <c r="AQ37" i="95"/>
  <c r="AQ38" i="95"/>
  <c r="AQ39" i="95"/>
  <c r="AQ40" i="95"/>
  <c r="AQ41" i="95"/>
  <c r="AQ42" i="95"/>
  <c r="AQ43" i="95"/>
  <c r="AQ44" i="95"/>
  <c r="AQ45" i="95"/>
  <c r="AQ46" i="95"/>
  <c r="AQ47" i="95"/>
  <c r="AQ48" i="95"/>
  <c r="AQ49" i="95"/>
  <c r="AQ50" i="95"/>
  <c r="AQ51" i="95"/>
  <c r="AQ52" i="95"/>
  <c r="AQ53" i="95"/>
  <c r="AQ54" i="95"/>
  <c r="AQ55" i="95"/>
  <c r="AQ56" i="95"/>
  <c r="AQ57" i="95"/>
  <c r="AQ58" i="95"/>
  <c r="AQ59" i="95"/>
  <c r="AQ60" i="95"/>
  <c r="AQ61" i="95"/>
  <c r="AQ62" i="95"/>
  <c r="AQ63" i="95"/>
  <c r="AQ64" i="95"/>
  <c r="AQ65" i="95"/>
  <c r="AQ66" i="95"/>
  <c r="AQ67" i="95"/>
  <c r="AQ68" i="95"/>
  <c r="AQ69" i="95"/>
  <c r="AQ70" i="95"/>
  <c r="AQ71" i="95"/>
  <c r="AQ72" i="95"/>
  <c r="AQ73" i="95"/>
  <c r="AQ74" i="95"/>
  <c r="AQ75" i="95"/>
  <c r="AQ76" i="95"/>
  <c r="AQ77" i="95"/>
  <c r="AQ78" i="95"/>
  <c r="AQ79" i="95"/>
  <c r="AQ80" i="95"/>
  <c r="AQ81" i="95"/>
  <c r="AQ82" i="95"/>
  <c r="AQ83" i="95"/>
  <c r="AQ84" i="95"/>
  <c r="AQ85" i="95"/>
  <c r="AQ86" i="95"/>
  <c r="AQ87" i="95"/>
  <c r="AQ88" i="95"/>
  <c r="AQ89" i="95"/>
  <c r="AQ90" i="95"/>
  <c r="AQ91" i="95"/>
  <c r="AQ92" i="95"/>
  <c r="AQ93" i="95"/>
  <c r="AQ94" i="95"/>
  <c r="AQ95" i="95"/>
  <c r="AQ96" i="95"/>
  <c r="AQ97" i="95"/>
  <c r="AQ98" i="95"/>
  <c r="AQ99" i="95"/>
  <c r="AQ100" i="95"/>
  <c r="AQ101" i="95"/>
  <c r="AQ102" i="95"/>
  <c r="AQ103" i="95"/>
  <c r="AQ104" i="95"/>
  <c r="AQ105" i="95"/>
  <c r="AQ106" i="95"/>
  <c r="AQ107" i="95"/>
  <c r="AQ108" i="95"/>
  <c r="AQ109" i="95"/>
  <c r="AQ110" i="95"/>
  <c r="AQ111" i="95"/>
  <c r="AP17" i="95"/>
  <c r="AP18" i="95"/>
  <c r="AP19" i="95"/>
  <c r="AP20" i="95"/>
  <c r="AP21" i="95"/>
  <c r="AP22" i="95"/>
  <c r="AP23" i="95"/>
  <c r="AP24" i="95"/>
  <c r="AP25" i="95"/>
  <c r="AP26" i="95"/>
  <c r="AP27" i="95"/>
  <c r="AP28" i="95"/>
  <c r="AP29" i="95"/>
  <c r="AP30" i="95"/>
  <c r="AP31" i="95"/>
  <c r="AP32" i="95"/>
  <c r="AP33" i="95"/>
  <c r="AP34" i="95"/>
  <c r="AP35" i="95"/>
  <c r="AP36" i="95"/>
  <c r="AP37" i="95"/>
  <c r="AP38" i="95"/>
  <c r="AP39" i="95"/>
  <c r="AP40" i="95"/>
  <c r="AP41" i="95"/>
  <c r="AP42" i="95"/>
  <c r="AP43" i="95"/>
  <c r="AP44" i="95"/>
  <c r="AP45" i="95"/>
  <c r="AP46" i="95"/>
  <c r="AP47" i="95"/>
  <c r="AP48" i="95"/>
  <c r="AP49" i="95"/>
  <c r="AP50" i="95"/>
  <c r="AP51" i="95"/>
  <c r="AP52" i="95"/>
  <c r="AP53" i="95"/>
  <c r="AP54" i="95"/>
  <c r="AP55" i="95"/>
  <c r="AP56" i="95"/>
  <c r="AP57" i="95"/>
  <c r="AP58" i="95"/>
  <c r="AP59" i="95"/>
  <c r="AP60" i="95"/>
  <c r="AP61" i="95"/>
  <c r="AP62" i="95"/>
  <c r="AP63" i="95"/>
  <c r="AP64" i="95"/>
  <c r="AP65" i="95"/>
  <c r="AP66" i="95"/>
  <c r="AP67" i="95"/>
  <c r="AP68" i="95"/>
  <c r="AP69" i="95"/>
  <c r="AP70" i="95"/>
  <c r="AP71" i="95"/>
  <c r="AP72" i="95"/>
  <c r="AP73" i="95"/>
  <c r="AP74" i="95"/>
  <c r="AP75" i="95"/>
  <c r="AP76" i="95"/>
  <c r="AP77" i="95"/>
  <c r="AP78" i="95"/>
  <c r="AP79" i="95"/>
  <c r="AP80" i="95"/>
  <c r="AP81" i="95"/>
  <c r="AP82" i="95"/>
  <c r="AP83" i="95"/>
  <c r="AP84" i="95"/>
  <c r="AP85" i="95"/>
  <c r="AP86" i="95"/>
  <c r="AP87" i="95"/>
  <c r="AP88" i="95"/>
  <c r="AP89" i="95"/>
  <c r="AP90" i="95"/>
  <c r="AP91" i="95"/>
  <c r="AP92" i="95"/>
  <c r="AP93" i="95"/>
  <c r="AP94" i="95"/>
  <c r="AP95" i="95"/>
  <c r="AP96" i="95"/>
  <c r="AP97" i="95"/>
  <c r="AP98" i="95"/>
  <c r="AP99" i="95"/>
  <c r="AP100" i="95"/>
  <c r="AP101" i="95"/>
  <c r="AP102" i="95"/>
  <c r="AP103" i="95"/>
  <c r="AP104" i="95"/>
  <c r="AP105" i="95"/>
  <c r="AP106" i="95"/>
  <c r="AP107" i="95"/>
  <c r="AP108" i="95"/>
  <c r="AP109" i="95"/>
  <c r="AP110" i="95"/>
  <c r="AP111" i="95"/>
  <c r="AO17" i="95"/>
  <c r="AO18" i="95"/>
  <c r="AO19" i="95"/>
  <c r="AO20" i="95"/>
  <c r="AO21" i="95"/>
  <c r="AO22" i="95"/>
  <c r="AO23" i="95"/>
  <c r="AO24" i="95"/>
  <c r="AO25" i="95"/>
  <c r="AO26" i="95"/>
  <c r="AO27" i="95"/>
  <c r="AO28" i="95"/>
  <c r="AO29" i="95"/>
  <c r="AO30" i="95"/>
  <c r="AO31" i="95"/>
  <c r="AO32" i="95"/>
  <c r="AO33" i="95"/>
  <c r="AO34" i="95"/>
  <c r="AO35" i="95"/>
  <c r="AO36" i="95"/>
  <c r="AO37" i="95"/>
  <c r="AO38" i="95"/>
  <c r="AO39" i="95"/>
  <c r="AO40" i="95"/>
  <c r="AO41" i="95"/>
  <c r="AO42" i="95"/>
  <c r="AO43" i="95"/>
  <c r="AO44" i="95"/>
  <c r="AO45" i="95"/>
  <c r="AO46" i="95"/>
  <c r="AO47" i="95"/>
  <c r="AO48" i="95"/>
  <c r="AO49" i="95"/>
  <c r="AO50" i="95"/>
  <c r="AO51" i="95"/>
  <c r="AO52" i="95"/>
  <c r="AO53" i="95"/>
  <c r="AO54" i="95"/>
  <c r="AO55" i="95"/>
  <c r="AO56" i="95"/>
  <c r="AO57" i="95"/>
  <c r="AO58" i="95"/>
  <c r="AO59" i="95"/>
  <c r="AO60" i="95"/>
  <c r="AO61" i="95"/>
  <c r="AO62" i="95"/>
  <c r="AO63" i="95"/>
  <c r="AO64" i="95"/>
  <c r="AO65" i="95"/>
  <c r="AO66" i="95"/>
  <c r="AO67" i="95"/>
  <c r="AO68" i="95"/>
  <c r="AO69" i="95"/>
  <c r="AO70" i="95"/>
  <c r="AO71" i="95"/>
  <c r="AO72" i="95"/>
  <c r="AO73" i="95"/>
  <c r="AO74" i="95"/>
  <c r="AO75" i="95"/>
  <c r="AO76" i="95"/>
  <c r="AO77" i="95"/>
  <c r="AO78" i="95"/>
  <c r="AO79" i="95"/>
  <c r="AO80" i="95"/>
  <c r="AO81" i="95"/>
  <c r="AO82" i="95"/>
  <c r="AO83" i="95"/>
  <c r="AO84" i="95"/>
  <c r="AO85" i="95"/>
  <c r="AO86" i="95"/>
  <c r="AO87" i="95"/>
  <c r="AO88" i="95"/>
  <c r="AO89" i="95"/>
  <c r="AO90" i="95"/>
  <c r="AO91" i="95"/>
  <c r="AO92" i="95"/>
  <c r="AO93" i="95"/>
  <c r="AO94" i="95"/>
  <c r="AO95" i="95"/>
  <c r="AO96" i="95"/>
  <c r="AO97" i="95"/>
  <c r="AO98" i="95"/>
  <c r="AO99" i="95"/>
  <c r="AO100" i="95"/>
  <c r="AO101" i="95"/>
  <c r="AO102" i="95"/>
  <c r="AO103" i="95"/>
  <c r="AO104" i="95"/>
  <c r="AO105" i="95"/>
  <c r="AO106" i="95"/>
  <c r="AO107" i="95"/>
  <c r="AO108" i="95"/>
  <c r="AO109" i="95"/>
  <c r="AO110" i="95"/>
  <c r="AO111" i="95"/>
  <c r="AN17" i="95"/>
  <c r="AY17" i="95" s="1"/>
  <c r="AN18" i="95"/>
  <c r="AN19" i="95"/>
  <c r="AY19" i="95" s="1"/>
  <c r="AN20" i="95"/>
  <c r="AN21" i="95"/>
  <c r="AY21" i="95" s="1"/>
  <c r="AN22" i="95"/>
  <c r="AN23" i="95"/>
  <c r="AN24" i="95"/>
  <c r="AN25" i="95"/>
  <c r="AY25" i="95" s="1"/>
  <c r="AN26" i="95"/>
  <c r="AN27" i="95"/>
  <c r="AY27" i="95" s="1"/>
  <c r="AN28" i="95"/>
  <c r="AN29" i="95"/>
  <c r="AY29" i="95" s="1"/>
  <c r="AN30" i="95"/>
  <c r="AN31" i="95"/>
  <c r="AN32" i="95"/>
  <c r="AN33" i="95"/>
  <c r="AY33" i="95" s="1"/>
  <c r="AN34" i="95"/>
  <c r="AN35" i="95"/>
  <c r="AY35" i="95" s="1"/>
  <c r="AN36" i="95"/>
  <c r="AN37" i="95"/>
  <c r="AY37" i="95" s="1"/>
  <c r="AN38" i="95"/>
  <c r="AN39" i="95"/>
  <c r="AN40" i="95"/>
  <c r="AN41" i="95"/>
  <c r="AY41" i="95" s="1"/>
  <c r="AN42" i="95"/>
  <c r="AN43" i="95"/>
  <c r="AY43" i="95" s="1"/>
  <c r="AN44" i="95"/>
  <c r="AN45" i="95"/>
  <c r="AY45" i="95" s="1"/>
  <c r="AN46" i="95"/>
  <c r="AN47" i="95"/>
  <c r="AN48" i="95"/>
  <c r="AN49" i="95"/>
  <c r="AY49" i="95" s="1"/>
  <c r="AN50" i="95"/>
  <c r="AN51" i="95"/>
  <c r="AY51" i="95" s="1"/>
  <c r="AN52" i="95"/>
  <c r="AN53" i="95"/>
  <c r="AY53" i="95" s="1"/>
  <c r="AN54" i="95"/>
  <c r="AN55" i="95"/>
  <c r="AN56" i="95"/>
  <c r="AN57" i="95"/>
  <c r="AY57" i="95" s="1"/>
  <c r="AN58" i="95"/>
  <c r="AN59" i="95"/>
  <c r="AY59" i="95" s="1"/>
  <c r="AN60" i="95"/>
  <c r="AN61" i="95"/>
  <c r="AY61" i="95" s="1"/>
  <c r="AN62" i="95"/>
  <c r="AN63" i="95"/>
  <c r="AN64" i="95"/>
  <c r="AN65" i="95"/>
  <c r="AY65" i="95" s="1"/>
  <c r="AN66" i="95"/>
  <c r="AN67" i="95"/>
  <c r="AY67" i="95" s="1"/>
  <c r="AN68" i="95"/>
  <c r="AN69" i="95"/>
  <c r="AY69" i="95" s="1"/>
  <c r="AN70" i="95"/>
  <c r="AN71" i="95"/>
  <c r="AN72" i="95"/>
  <c r="AN73" i="95"/>
  <c r="AY73" i="95" s="1"/>
  <c r="AN74" i="95"/>
  <c r="AN75" i="95"/>
  <c r="AY75" i="95" s="1"/>
  <c r="AN76" i="95"/>
  <c r="AN77" i="95"/>
  <c r="AY77" i="95" s="1"/>
  <c r="AN78" i="95"/>
  <c r="AN79" i="95"/>
  <c r="AN80" i="95"/>
  <c r="AN81" i="95"/>
  <c r="AY81" i="95" s="1"/>
  <c r="AN82" i="95"/>
  <c r="AN83" i="95"/>
  <c r="AY83" i="95" s="1"/>
  <c r="AN84" i="95"/>
  <c r="AN85" i="95"/>
  <c r="AY85" i="95" s="1"/>
  <c r="AN86" i="95"/>
  <c r="AN87" i="95"/>
  <c r="AN88" i="95"/>
  <c r="AN89" i="95"/>
  <c r="AY89" i="95" s="1"/>
  <c r="AN90" i="95"/>
  <c r="AN91" i="95"/>
  <c r="AY91" i="95" s="1"/>
  <c r="AN92" i="95"/>
  <c r="AN93" i="95"/>
  <c r="AY93" i="95" s="1"/>
  <c r="AN94" i="95"/>
  <c r="AN95" i="95"/>
  <c r="AN96" i="95"/>
  <c r="AN97" i="95"/>
  <c r="AY97" i="95" s="1"/>
  <c r="AN98" i="95"/>
  <c r="AN99" i="95"/>
  <c r="AY99" i="95" s="1"/>
  <c r="AN100" i="95"/>
  <c r="AN101" i="95"/>
  <c r="AY101" i="95" s="1"/>
  <c r="AN102" i="95"/>
  <c r="AN103" i="95"/>
  <c r="AN104" i="95"/>
  <c r="AN105" i="95"/>
  <c r="AY105" i="95" s="1"/>
  <c r="AN106" i="95"/>
  <c r="AN107" i="95"/>
  <c r="AY107" i="95" s="1"/>
  <c r="AN108" i="95"/>
  <c r="AN109" i="95"/>
  <c r="AY109" i="95" s="1"/>
  <c r="AN110" i="95"/>
  <c r="AN111" i="95"/>
  <c r="AY18" i="95"/>
  <c r="AY20" i="95"/>
  <c r="AY22" i="95"/>
  <c r="AY23" i="95"/>
  <c r="AY24" i="95"/>
  <c r="AY26" i="95"/>
  <c r="AY28" i="95"/>
  <c r="AY30" i="95"/>
  <c r="AY31" i="95"/>
  <c r="AY32" i="95"/>
  <c r="AY34" i="95"/>
  <c r="AY36" i="95"/>
  <c r="AY38" i="95"/>
  <c r="AY39" i="95"/>
  <c r="AY40" i="95"/>
  <c r="AY42" i="95"/>
  <c r="AY44" i="95"/>
  <c r="AY46" i="95"/>
  <c r="AY47" i="95"/>
  <c r="AY48" i="95"/>
  <c r="AY50" i="95"/>
  <c r="AY52" i="95"/>
  <c r="AY54" i="95"/>
  <c r="AY55" i="95"/>
  <c r="AY56" i="95"/>
  <c r="AY58" i="95"/>
  <c r="AY60" i="95"/>
  <c r="AY62" i="95"/>
  <c r="AY63" i="95"/>
  <c r="AY64" i="95"/>
  <c r="AY66" i="95"/>
  <c r="AY68" i="95"/>
  <c r="AY70" i="95"/>
  <c r="AY71" i="95"/>
  <c r="AY72" i="95"/>
  <c r="AY74" i="95"/>
  <c r="AY76" i="95"/>
  <c r="AY78" i="95"/>
  <c r="AY79" i="95"/>
  <c r="AY80" i="95"/>
  <c r="AY82" i="95"/>
  <c r="AY84" i="95"/>
  <c r="AY86" i="95"/>
  <c r="AY87" i="95"/>
  <c r="AY88" i="95"/>
  <c r="AY90" i="95"/>
  <c r="AY92" i="95"/>
  <c r="AY94" i="95"/>
  <c r="AY95" i="95"/>
  <c r="AY96" i="95"/>
  <c r="AY98" i="95"/>
  <c r="AY100" i="95"/>
  <c r="AY102" i="95"/>
  <c r="AY103" i="95"/>
  <c r="AY104" i="95"/>
  <c r="AY106" i="95"/>
  <c r="AY108" i="95"/>
  <c r="AY110" i="95"/>
  <c r="AY111" i="95"/>
  <c r="Z13" i="99" l="1"/>
  <c r="Z14" i="99"/>
  <c r="Z15" i="99"/>
  <c r="Z16" i="99"/>
  <c r="Z17" i="99"/>
  <c r="Z18" i="99"/>
  <c r="Z19" i="99"/>
  <c r="Z20" i="99"/>
  <c r="Z21" i="99"/>
  <c r="Z22" i="99"/>
  <c r="Z23" i="99"/>
  <c r="Z24" i="99"/>
  <c r="Z25" i="99"/>
  <c r="Z26" i="99"/>
  <c r="Z27" i="99"/>
  <c r="Z28" i="99"/>
  <c r="Z29" i="99"/>
  <c r="Z30" i="99"/>
  <c r="Z31" i="99"/>
  <c r="Z32" i="99"/>
  <c r="Z33" i="99"/>
  <c r="Z34" i="99"/>
  <c r="Z35" i="99"/>
  <c r="Z36" i="99"/>
  <c r="Z37" i="99"/>
  <c r="Z38" i="99"/>
  <c r="Z39" i="99"/>
  <c r="Z40" i="99"/>
  <c r="Z41" i="99"/>
  <c r="Z42" i="99"/>
  <c r="Z43" i="99"/>
  <c r="Z44" i="99"/>
  <c r="Z45" i="99"/>
  <c r="Z46" i="99"/>
  <c r="Z47" i="99"/>
  <c r="Z48" i="99"/>
  <c r="Z49" i="99"/>
  <c r="Z50" i="99"/>
  <c r="Z51" i="99"/>
  <c r="Z52" i="99"/>
  <c r="Z53" i="99"/>
  <c r="Z54" i="99"/>
  <c r="Z55" i="99"/>
  <c r="Z56" i="99"/>
  <c r="Z57" i="99"/>
  <c r="Z58" i="99"/>
  <c r="Z59" i="99"/>
  <c r="Z60" i="99"/>
  <c r="Z61" i="99"/>
  <c r="Z62" i="99"/>
  <c r="Z63" i="99"/>
  <c r="Z64" i="99"/>
  <c r="Z65" i="99"/>
  <c r="Z66" i="99"/>
  <c r="Z67" i="99"/>
  <c r="Z68" i="99"/>
  <c r="Z69" i="99"/>
  <c r="Z70" i="99"/>
  <c r="Z71" i="99"/>
  <c r="Z72" i="99"/>
  <c r="Z73" i="99"/>
  <c r="Z74" i="99"/>
  <c r="Z75" i="99"/>
  <c r="Z76" i="99"/>
  <c r="Z77" i="99"/>
  <c r="Z78" i="99"/>
  <c r="Z79" i="99"/>
  <c r="Z80" i="99"/>
  <c r="Z81" i="99"/>
  <c r="Z82" i="99"/>
  <c r="Z83" i="99"/>
  <c r="Z84" i="99"/>
  <c r="Z85" i="99"/>
  <c r="Z86" i="99"/>
  <c r="Z87" i="99"/>
  <c r="Z88" i="99"/>
  <c r="Z89" i="99"/>
  <c r="Z90" i="99"/>
  <c r="Z91" i="99"/>
  <c r="Z92" i="99"/>
  <c r="Z93" i="99"/>
  <c r="Z94" i="99"/>
  <c r="Z95" i="99"/>
  <c r="Z96" i="99"/>
  <c r="Z97" i="99"/>
  <c r="Z98" i="99"/>
  <c r="Z99" i="99"/>
  <c r="Z100" i="99"/>
  <c r="Z101" i="99"/>
  <c r="Z102" i="99"/>
  <c r="Z103" i="99"/>
  <c r="Z104" i="99"/>
  <c r="Z105" i="99"/>
  <c r="Z106" i="99"/>
  <c r="Z107" i="99"/>
  <c r="Z108" i="99"/>
  <c r="Z109" i="99"/>
  <c r="Z110" i="99"/>
  <c r="Z111" i="99"/>
  <c r="BA51" i="91"/>
  <c r="BA40" i="91"/>
  <c r="BA36" i="91"/>
  <c r="AZ12" i="95" l="1"/>
  <c r="B111" i="95" l="1"/>
  <c r="A42" i="73" l="1"/>
  <c r="A43" i="73" s="1"/>
  <c r="A44" i="73" s="1"/>
  <c r="A45" i="73" s="1"/>
  <c r="A46" i="73" s="1"/>
  <c r="A47" i="73" s="1"/>
  <c r="A48" i="73" s="1"/>
  <c r="A49" i="73" s="1"/>
  <c r="A50" i="73" s="1"/>
  <c r="A51" i="73" s="1"/>
  <c r="A52" i="73" s="1"/>
  <c r="A53" i="73" s="1"/>
  <c r="A54" i="73" s="1"/>
  <c r="A55" i="73" s="1"/>
  <c r="A56" i="73" s="1"/>
  <c r="A57" i="73" s="1"/>
  <c r="A58" i="73" s="1"/>
  <c r="A59" i="73" s="1"/>
  <c r="A60" i="73" s="1"/>
  <c r="A61" i="73" s="1"/>
  <c r="A62" i="73" s="1"/>
  <c r="A63" i="73" s="1"/>
  <c r="A64" i="73" s="1"/>
  <c r="A65" i="73" s="1"/>
  <c r="A66" i="73" s="1"/>
  <c r="A67" i="73" s="1"/>
  <c r="A68" i="73" s="1"/>
  <c r="A69" i="73" s="1"/>
  <c r="A70" i="73" s="1"/>
  <c r="A71" i="73" s="1"/>
  <c r="A72" i="73" s="1"/>
  <c r="A73" i="73" s="1"/>
  <c r="A74" i="73" s="1"/>
  <c r="A75" i="73" s="1"/>
  <c r="A76" i="73" s="1"/>
  <c r="A77" i="73" s="1"/>
  <c r="A78" i="73" s="1"/>
  <c r="A79" i="73" s="1"/>
  <c r="A80" i="73" s="1"/>
  <c r="A81" i="73" s="1"/>
  <c r="A82" i="73" s="1"/>
  <c r="A83" i="73" s="1"/>
  <c r="A84" i="73" s="1"/>
  <c r="A85" i="73" s="1"/>
  <c r="A86" i="73" s="1"/>
  <c r="A87" i="73" s="1"/>
  <c r="A88" i="73" s="1"/>
  <c r="A89" i="73" s="1"/>
  <c r="A90" i="73" s="1"/>
  <c r="A91" i="73" s="1"/>
  <c r="A92" i="73" s="1"/>
  <c r="A93" i="73" s="1"/>
  <c r="A94" i="73" s="1"/>
  <c r="A95" i="73" s="1"/>
  <c r="A96" i="73" s="1"/>
  <c r="A97" i="73" s="1"/>
  <c r="A98" i="73" s="1"/>
  <c r="A99" i="73" s="1"/>
  <c r="A100" i="73" s="1"/>
  <c r="A101" i="73" s="1"/>
  <c r="A102" i="73" s="1"/>
  <c r="A103" i="73" s="1"/>
  <c r="A104" i="73" s="1"/>
  <c r="A105" i="73" s="1"/>
  <c r="A106" i="73" s="1"/>
  <c r="A107" i="73" s="1"/>
  <c r="A108" i="73" s="1"/>
  <c r="A109" i="73" s="1"/>
  <c r="A110" i="73" s="1"/>
  <c r="A111" i="73" s="1"/>
  <c r="A112" i="73" s="1"/>
  <c r="A113" i="73" s="1"/>
  <c r="A114" i="73" s="1"/>
  <c r="A115" i="73" s="1"/>
  <c r="A116" i="73" s="1"/>
  <c r="A117" i="73" s="1"/>
  <c r="A118" i="73" s="1"/>
  <c r="A119" i="73" s="1"/>
  <c r="A120" i="73" s="1"/>
  <c r="A121" i="73" s="1"/>
  <c r="A122" i="73" s="1"/>
  <c r="A123" i="73" s="1"/>
  <c r="A124" i="73" s="1"/>
  <c r="A125" i="73" s="1"/>
  <c r="A126" i="73" s="1"/>
  <c r="A127" i="73" s="1"/>
  <c r="A128" i="73" s="1"/>
  <c r="A129" i="73" s="1"/>
  <c r="A130" i="73" s="1"/>
  <c r="A131" i="73" s="1"/>
  <c r="A132" i="73" s="1"/>
  <c r="A133" i="73" s="1"/>
  <c r="A134" i="73" s="1"/>
  <c r="A135" i="73" s="1"/>
  <c r="A136" i="73" s="1"/>
  <c r="A137" i="73" s="1"/>
  <c r="A138" i="73" s="1"/>
  <c r="A139" i="73" s="1"/>
  <c r="A41" i="73"/>
  <c r="BF13" i="99" l="1"/>
  <c r="BF14" i="99"/>
  <c r="BF15" i="99"/>
  <c r="BF16" i="99"/>
  <c r="BF17" i="99"/>
  <c r="BF18" i="99"/>
  <c r="BF19" i="99"/>
  <c r="BF20" i="99"/>
  <c r="BF21" i="99"/>
  <c r="BF22" i="99"/>
  <c r="BF23" i="99"/>
  <c r="BF24" i="99"/>
  <c r="BF25" i="99"/>
  <c r="BF26" i="99"/>
  <c r="BF27" i="99"/>
  <c r="BF28" i="99"/>
  <c r="BF29" i="99"/>
  <c r="BF30" i="99"/>
  <c r="BF31" i="99"/>
  <c r="BF32" i="99"/>
  <c r="BF33" i="99"/>
  <c r="BF34" i="99"/>
  <c r="BF35" i="99"/>
  <c r="BF36" i="99"/>
  <c r="BF37" i="99"/>
  <c r="BF38" i="99"/>
  <c r="BF39" i="99"/>
  <c r="BF40" i="99"/>
  <c r="BF41" i="99"/>
  <c r="BF42" i="99"/>
  <c r="BF43" i="99"/>
  <c r="BF44" i="99"/>
  <c r="BF45" i="99"/>
  <c r="BF46" i="99"/>
  <c r="BF47" i="99"/>
  <c r="BF48" i="99"/>
  <c r="BF49" i="99"/>
  <c r="BF50" i="99"/>
  <c r="BF51" i="99"/>
  <c r="BF52" i="99"/>
  <c r="BF53" i="99"/>
  <c r="BF54" i="99"/>
  <c r="BF55" i="99"/>
  <c r="BF56" i="99"/>
  <c r="BF57" i="99"/>
  <c r="BF58" i="99"/>
  <c r="BF59" i="99"/>
  <c r="BF60" i="99"/>
  <c r="BF61" i="99"/>
  <c r="BF62" i="99"/>
  <c r="BF63" i="99"/>
  <c r="BF64" i="99"/>
  <c r="BF65" i="99"/>
  <c r="BF66" i="99"/>
  <c r="BF67" i="99"/>
  <c r="BF68" i="99"/>
  <c r="BF69" i="99"/>
  <c r="BF70" i="99"/>
  <c r="BF71" i="99"/>
  <c r="BF72" i="99"/>
  <c r="BF73" i="99"/>
  <c r="BF74" i="99"/>
  <c r="BF75" i="99"/>
  <c r="BF76" i="99"/>
  <c r="BF77" i="99"/>
  <c r="BF78" i="99"/>
  <c r="BF79" i="99"/>
  <c r="BF80" i="99"/>
  <c r="BF81" i="99"/>
  <c r="BF82" i="99"/>
  <c r="BF83" i="99"/>
  <c r="BF84" i="99"/>
  <c r="BF85" i="99"/>
  <c r="BF86" i="99"/>
  <c r="BF87" i="99"/>
  <c r="BF88" i="99"/>
  <c r="BF89" i="99"/>
  <c r="BF90" i="99"/>
  <c r="BF91" i="99"/>
  <c r="BF92" i="99"/>
  <c r="BF93" i="99"/>
  <c r="BF94" i="99"/>
  <c r="BF95" i="99"/>
  <c r="BF96" i="99"/>
  <c r="BF97" i="99"/>
  <c r="BF98" i="99"/>
  <c r="BF99" i="99"/>
  <c r="BF100" i="99"/>
  <c r="BF101" i="99"/>
  <c r="BF102" i="99"/>
  <c r="BF103" i="99"/>
  <c r="BF104" i="99"/>
  <c r="BF105" i="99"/>
  <c r="BF106" i="99"/>
  <c r="BF107" i="99"/>
  <c r="BF108" i="99"/>
  <c r="BF109" i="99"/>
  <c r="BF110" i="99"/>
  <c r="BF111" i="99"/>
  <c r="BF12" i="99"/>
  <c r="BA32" i="91" l="1"/>
  <c r="BD17" i="99"/>
  <c r="BD12" i="95"/>
  <c r="BD13" i="99" l="1"/>
  <c r="BD14" i="99"/>
  <c r="BD15" i="99"/>
  <c r="BD16" i="99"/>
  <c r="BD18" i="99"/>
  <c r="BD19" i="99"/>
  <c r="BD20" i="99"/>
  <c r="BD21" i="99"/>
  <c r="BD22" i="99"/>
  <c r="BD23" i="99"/>
  <c r="BD24" i="99"/>
  <c r="BD25" i="99"/>
  <c r="BD26" i="99"/>
  <c r="BD27" i="99"/>
  <c r="BD28" i="99"/>
  <c r="BD29" i="99"/>
  <c r="BD30" i="99"/>
  <c r="BD31" i="99"/>
  <c r="BD32" i="99"/>
  <c r="BD33" i="99"/>
  <c r="BD34" i="99"/>
  <c r="BD35" i="99"/>
  <c r="BD36" i="99"/>
  <c r="BD37" i="99"/>
  <c r="BD38" i="99"/>
  <c r="BD39" i="99"/>
  <c r="BD40" i="99"/>
  <c r="BD41" i="99"/>
  <c r="BD42" i="99"/>
  <c r="BD43" i="99"/>
  <c r="BD44" i="99"/>
  <c r="BD45" i="99"/>
  <c r="BD46" i="99"/>
  <c r="BD47" i="99"/>
  <c r="BD48" i="99"/>
  <c r="BD49" i="99"/>
  <c r="BD50" i="99"/>
  <c r="BD51" i="99"/>
  <c r="BD52" i="99"/>
  <c r="BD53" i="99"/>
  <c r="BD54" i="99"/>
  <c r="BD55" i="99"/>
  <c r="BD56" i="99"/>
  <c r="BD57" i="99"/>
  <c r="BD58" i="99"/>
  <c r="BD59" i="99"/>
  <c r="BD60" i="99"/>
  <c r="BD61" i="99"/>
  <c r="BD62" i="99"/>
  <c r="BD63" i="99"/>
  <c r="BD64" i="99"/>
  <c r="BD65" i="99"/>
  <c r="BD66" i="99"/>
  <c r="BD67" i="99"/>
  <c r="BD68" i="99"/>
  <c r="BD69" i="99"/>
  <c r="BD70" i="99"/>
  <c r="BD71" i="99"/>
  <c r="BD72" i="99"/>
  <c r="BD73" i="99"/>
  <c r="BD74" i="99"/>
  <c r="BD75" i="99"/>
  <c r="BD76" i="99"/>
  <c r="BD77" i="99"/>
  <c r="BD78" i="99"/>
  <c r="BD79" i="99"/>
  <c r="BD80" i="99"/>
  <c r="BD81" i="99"/>
  <c r="BD82" i="99"/>
  <c r="BD83" i="99"/>
  <c r="BD84" i="99"/>
  <c r="BD85" i="99"/>
  <c r="BD86" i="99"/>
  <c r="BD87" i="99"/>
  <c r="BD88" i="99"/>
  <c r="BD89" i="99"/>
  <c r="BD90" i="99"/>
  <c r="BD91" i="99"/>
  <c r="BD92" i="99"/>
  <c r="BD93" i="99"/>
  <c r="BD94" i="99"/>
  <c r="BD95" i="99"/>
  <c r="BD96" i="99"/>
  <c r="BD97" i="99"/>
  <c r="BD98" i="99"/>
  <c r="BD99" i="99"/>
  <c r="BD100" i="99"/>
  <c r="BD101" i="99"/>
  <c r="BD102" i="99"/>
  <c r="BD103" i="99"/>
  <c r="BD104" i="99"/>
  <c r="BD105" i="99"/>
  <c r="BD106" i="99"/>
  <c r="BD107" i="99"/>
  <c r="BD108" i="99"/>
  <c r="BD109" i="99"/>
  <c r="BD110" i="99"/>
  <c r="BD111" i="99"/>
  <c r="BB13" i="95"/>
  <c r="BD13" i="95" s="1"/>
  <c r="BB14" i="95"/>
  <c r="BD14" i="95" s="1"/>
  <c r="BB15" i="95"/>
  <c r="BD15" i="95" s="1"/>
  <c r="BB16" i="95"/>
  <c r="BD16" i="95" s="1"/>
  <c r="BB17" i="95"/>
  <c r="BD17" i="95" s="1"/>
  <c r="BB18" i="95"/>
  <c r="BD18" i="95" s="1"/>
  <c r="BB19" i="95"/>
  <c r="BD19" i="95" s="1"/>
  <c r="BB20" i="95"/>
  <c r="BD20" i="95" s="1"/>
  <c r="BB21" i="95"/>
  <c r="BD21" i="95" s="1"/>
  <c r="BB22" i="95"/>
  <c r="BD22" i="95" s="1"/>
  <c r="BB23" i="95"/>
  <c r="BD23" i="95" s="1"/>
  <c r="BB24" i="95"/>
  <c r="BD24" i="95" s="1"/>
  <c r="BB25" i="95"/>
  <c r="BD25" i="95" s="1"/>
  <c r="BB26" i="95"/>
  <c r="BD26" i="95" s="1"/>
  <c r="BB27" i="95"/>
  <c r="BD27" i="95" s="1"/>
  <c r="BB28" i="95"/>
  <c r="BD28" i="95" s="1"/>
  <c r="BB29" i="95"/>
  <c r="BD29" i="95" s="1"/>
  <c r="BB30" i="95"/>
  <c r="BD30" i="95" s="1"/>
  <c r="BB31" i="95"/>
  <c r="BD31" i="95" s="1"/>
  <c r="BB32" i="95"/>
  <c r="BD32" i="95" s="1"/>
  <c r="BB33" i="95"/>
  <c r="BD33" i="95" s="1"/>
  <c r="BB34" i="95"/>
  <c r="BD34" i="95" s="1"/>
  <c r="BB35" i="95"/>
  <c r="BD35" i="95" s="1"/>
  <c r="BB36" i="95"/>
  <c r="BD36" i="95" s="1"/>
  <c r="BB37" i="95"/>
  <c r="BD37" i="95" s="1"/>
  <c r="BB38" i="95"/>
  <c r="BD38" i="95" s="1"/>
  <c r="BB39" i="95"/>
  <c r="BD39" i="95" s="1"/>
  <c r="BB40" i="95"/>
  <c r="BD40" i="95" s="1"/>
  <c r="BB41" i="95"/>
  <c r="BD41" i="95" s="1"/>
  <c r="BB42" i="95"/>
  <c r="BD42" i="95" s="1"/>
  <c r="BB43" i="95"/>
  <c r="BD43" i="95" s="1"/>
  <c r="BB44" i="95"/>
  <c r="BD44" i="95" s="1"/>
  <c r="BB45" i="95"/>
  <c r="BD45" i="95" s="1"/>
  <c r="BB46" i="95"/>
  <c r="BD46" i="95" s="1"/>
  <c r="BB47" i="95"/>
  <c r="BD47" i="95" s="1"/>
  <c r="BB48" i="95"/>
  <c r="BD48" i="95" s="1"/>
  <c r="BB49" i="95"/>
  <c r="BD49" i="95" s="1"/>
  <c r="BB50" i="95"/>
  <c r="BD50" i="95" s="1"/>
  <c r="BB51" i="95"/>
  <c r="BD51" i="95" s="1"/>
  <c r="BB52" i="95"/>
  <c r="BD52" i="95" s="1"/>
  <c r="BB53" i="95"/>
  <c r="BD53" i="95" s="1"/>
  <c r="BB54" i="95"/>
  <c r="BD54" i="95" s="1"/>
  <c r="BB55" i="95"/>
  <c r="BD55" i="95" s="1"/>
  <c r="BB56" i="95"/>
  <c r="BD56" i="95" s="1"/>
  <c r="BB57" i="95"/>
  <c r="BD57" i="95" s="1"/>
  <c r="BB58" i="95"/>
  <c r="BD58" i="95" s="1"/>
  <c r="BB59" i="95"/>
  <c r="BD59" i="95" s="1"/>
  <c r="BB60" i="95"/>
  <c r="BD60" i="95" s="1"/>
  <c r="BB61" i="95"/>
  <c r="BD61" i="95" s="1"/>
  <c r="BB62" i="95"/>
  <c r="BD62" i="95" s="1"/>
  <c r="BB63" i="95"/>
  <c r="BD63" i="95" s="1"/>
  <c r="BB64" i="95"/>
  <c r="BD64" i="95" s="1"/>
  <c r="BB65" i="95"/>
  <c r="BD65" i="95" s="1"/>
  <c r="BB66" i="95"/>
  <c r="BD66" i="95" s="1"/>
  <c r="BB67" i="95"/>
  <c r="BD67" i="95" s="1"/>
  <c r="BB68" i="95"/>
  <c r="BD68" i="95" s="1"/>
  <c r="BB69" i="95"/>
  <c r="BD69" i="95" s="1"/>
  <c r="BB70" i="95"/>
  <c r="BD70" i="95" s="1"/>
  <c r="BB71" i="95"/>
  <c r="BD71" i="95" s="1"/>
  <c r="BB72" i="95"/>
  <c r="BD72" i="95" s="1"/>
  <c r="BB73" i="95"/>
  <c r="BD73" i="95" s="1"/>
  <c r="BB74" i="95"/>
  <c r="BD74" i="95" s="1"/>
  <c r="BB75" i="95"/>
  <c r="BD75" i="95" s="1"/>
  <c r="BB76" i="95"/>
  <c r="BD76" i="95" s="1"/>
  <c r="BB77" i="95"/>
  <c r="BD77" i="95" s="1"/>
  <c r="BB78" i="95"/>
  <c r="BD78" i="95" s="1"/>
  <c r="BB79" i="95"/>
  <c r="BD79" i="95" s="1"/>
  <c r="BB80" i="95"/>
  <c r="BD80" i="95" s="1"/>
  <c r="BB81" i="95"/>
  <c r="BD81" i="95" s="1"/>
  <c r="BB82" i="95"/>
  <c r="BD82" i="95" s="1"/>
  <c r="BB83" i="95"/>
  <c r="BD83" i="95" s="1"/>
  <c r="BB84" i="95"/>
  <c r="BD84" i="95" s="1"/>
  <c r="BB85" i="95"/>
  <c r="BD85" i="95" s="1"/>
  <c r="BB86" i="95"/>
  <c r="BD86" i="95" s="1"/>
  <c r="BB87" i="95"/>
  <c r="BD87" i="95" s="1"/>
  <c r="BB88" i="95"/>
  <c r="BD88" i="95" s="1"/>
  <c r="BB89" i="95"/>
  <c r="BD89" i="95" s="1"/>
  <c r="BB90" i="95"/>
  <c r="BD90" i="95" s="1"/>
  <c r="BB91" i="95"/>
  <c r="BD91" i="95" s="1"/>
  <c r="BB92" i="95"/>
  <c r="BD92" i="95" s="1"/>
  <c r="BB93" i="95"/>
  <c r="BD93" i="95" s="1"/>
  <c r="BB94" i="95"/>
  <c r="BD94" i="95" s="1"/>
  <c r="BB95" i="95"/>
  <c r="BD95" i="95" s="1"/>
  <c r="BB96" i="95"/>
  <c r="BD96" i="95" s="1"/>
  <c r="BB97" i="95"/>
  <c r="BD97" i="95" s="1"/>
  <c r="BB98" i="95"/>
  <c r="BD98" i="95" s="1"/>
  <c r="BB99" i="95"/>
  <c r="BD99" i="95" s="1"/>
  <c r="BB100" i="95"/>
  <c r="BD100" i="95" s="1"/>
  <c r="BB101" i="95"/>
  <c r="BD101" i="95" s="1"/>
  <c r="BB102" i="95"/>
  <c r="BD102" i="95" s="1"/>
  <c r="BB103" i="95"/>
  <c r="BD103" i="95" s="1"/>
  <c r="BB104" i="95"/>
  <c r="BD104" i="95" s="1"/>
  <c r="BB105" i="95"/>
  <c r="BD105" i="95" s="1"/>
  <c r="BB106" i="95"/>
  <c r="BD106" i="95" s="1"/>
  <c r="BB107" i="95"/>
  <c r="BD107" i="95" s="1"/>
  <c r="BB108" i="95"/>
  <c r="BD108" i="95" s="1"/>
  <c r="BB109" i="95"/>
  <c r="BD109" i="95" s="1"/>
  <c r="BB110" i="95"/>
  <c r="BD110" i="95" s="1"/>
  <c r="BB111" i="95"/>
  <c r="BD111" i="95" s="1"/>
  <c r="K17" i="95"/>
  <c r="BH17" i="95" s="1"/>
  <c r="AX17" i="95" l="1"/>
  <c r="BA17" i="95"/>
  <c r="BF12" i="95"/>
  <c r="AZ15" i="95"/>
  <c r="AT15" i="95"/>
  <c r="Z15" i="95"/>
  <c r="K15" i="95"/>
  <c r="J15" i="95"/>
  <c r="I15" i="95"/>
  <c r="H15" i="95"/>
  <c r="G15" i="95"/>
  <c r="BE15" i="95" s="1"/>
  <c r="B15" i="95"/>
  <c r="BA15" i="99"/>
  <c r="AU15" i="99"/>
  <c r="AT15" i="99"/>
  <c r="AR15" i="99"/>
  <c r="K15" i="99"/>
  <c r="J15" i="99"/>
  <c r="I15" i="99"/>
  <c r="H15" i="99"/>
  <c r="G15" i="99"/>
  <c r="BI15" i="99" s="1"/>
  <c r="B15" i="99"/>
  <c r="AQ43" i="73"/>
  <c r="AP43" i="73"/>
  <c r="AF43" i="73"/>
  <c r="L15" i="99" s="1"/>
  <c r="AC43" i="73"/>
  <c r="BH15" i="95" l="1"/>
  <c r="AN15" i="95"/>
  <c r="AN15" i="99"/>
  <c r="BC15" i="99" s="1"/>
  <c r="BM15" i="99"/>
  <c r="O15" i="99"/>
  <c r="BA15" i="95"/>
  <c r="AX15" i="95"/>
  <c r="L15" i="95"/>
  <c r="O15" i="95"/>
  <c r="AY15" i="99"/>
  <c r="BB15" i="99"/>
  <c r="AO15" i="99"/>
  <c r="AY15" i="95" l="1"/>
  <c r="AR15" i="95"/>
  <c r="AQ15" i="95"/>
  <c r="AO15" i="95"/>
  <c r="AV15" i="99"/>
  <c r="AW15" i="99" s="1"/>
  <c r="AQ15" i="99"/>
  <c r="AS15" i="99"/>
  <c r="AZ15" i="99"/>
  <c r="AK15" i="99"/>
  <c r="BG15" i="99"/>
  <c r="BH15" i="99" s="1"/>
  <c r="AU15" i="95"/>
  <c r="AK15" i="95"/>
  <c r="AX15" i="99" l="1"/>
  <c r="AV15" i="95"/>
  <c r="AW15" i="95" s="1"/>
  <c r="B19" i="99"/>
  <c r="G19" i="99"/>
  <c r="BI19" i="99" s="1"/>
  <c r="H19" i="99"/>
  <c r="I19" i="99"/>
  <c r="J19" i="99"/>
  <c r="K19" i="99"/>
  <c r="BA13" i="99"/>
  <c r="BA14" i="99"/>
  <c r="AR13" i="99"/>
  <c r="AR12" i="99"/>
  <c r="AS12" i="95"/>
  <c r="O19" i="99" l="1"/>
  <c r="BM19" i="99"/>
  <c r="AP40" i="73"/>
  <c r="AU13" i="99"/>
  <c r="AU14" i="99"/>
  <c r="AU16" i="99"/>
  <c r="AU17" i="99"/>
  <c r="AU18" i="99"/>
  <c r="AU19" i="99"/>
  <c r="AU20" i="99"/>
  <c r="AU21" i="99"/>
  <c r="AU22" i="99"/>
  <c r="AU23" i="99"/>
  <c r="AU24" i="99"/>
  <c r="AU25" i="99"/>
  <c r="AU26" i="99"/>
  <c r="AU27" i="99"/>
  <c r="AU28" i="99"/>
  <c r="AU29" i="99"/>
  <c r="AU30" i="99"/>
  <c r="AU31" i="99"/>
  <c r="AU32" i="99"/>
  <c r="AU33" i="99"/>
  <c r="AU34" i="99"/>
  <c r="AU35" i="99"/>
  <c r="AU36" i="99"/>
  <c r="AU37" i="99"/>
  <c r="AU38" i="99"/>
  <c r="AU39" i="99"/>
  <c r="AU40" i="99"/>
  <c r="AU41" i="99"/>
  <c r="AU42" i="99"/>
  <c r="AU43" i="99"/>
  <c r="AU44" i="99"/>
  <c r="AU45" i="99"/>
  <c r="AU46" i="99"/>
  <c r="AU47" i="99"/>
  <c r="AU48" i="99"/>
  <c r="AU49" i="99"/>
  <c r="AU50" i="99"/>
  <c r="AU51" i="99"/>
  <c r="AU52" i="99"/>
  <c r="AU53" i="99"/>
  <c r="AU54" i="99"/>
  <c r="AU55" i="99"/>
  <c r="AU56" i="99"/>
  <c r="AU57" i="99"/>
  <c r="AU58" i="99"/>
  <c r="AU59" i="99"/>
  <c r="AU60" i="99"/>
  <c r="AU61" i="99"/>
  <c r="AU62" i="99"/>
  <c r="AU63" i="99"/>
  <c r="AU64" i="99"/>
  <c r="AU65" i="99"/>
  <c r="AU66" i="99"/>
  <c r="AU67" i="99"/>
  <c r="AU68" i="99"/>
  <c r="AU69" i="99"/>
  <c r="AU70" i="99"/>
  <c r="AU71" i="99"/>
  <c r="AU72" i="99"/>
  <c r="AU73" i="99"/>
  <c r="AU74" i="99"/>
  <c r="AU75" i="99"/>
  <c r="AU76" i="99"/>
  <c r="AU77" i="99"/>
  <c r="AU78" i="99"/>
  <c r="AU79" i="99"/>
  <c r="AU80" i="99"/>
  <c r="AU81" i="99"/>
  <c r="AU82" i="99"/>
  <c r="AU83" i="99"/>
  <c r="AU84" i="99"/>
  <c r="AU85" i="99"/>
  <c r="AU86" i="99"/>
  <c r="AU87" i="99"/>
  <c r="AU88" i="99"/>
  <c r="AU89" i="99"/>
  <c r="AU90" i="99"/>
  <c r="AU91" i="99"/>
  <c r="AU92" i="99"/>
  <c r="AU93" i="99"/>
  <c r="AU94" i="99"/>
  <c r="AU95" i="99"/>
  <c r="AU96" i="99"/>
  <c r="AU97" i="99"/>
  <c r="AU98" i="99"/>
  <c r="AU99" i="99"/>
  <c r="AU100" i="99"/>
  <c r="AU101" i="99"/>
  <c r="AU102" i="99"/>
  <c r="AU103" i="99"/>
  <c r="AU104" i="99"/>
  <c r="AU105" i="99"/>
  <c r="AU106" i="99"/>
  <c r="AU107" i="99"/>
  <c r="AU108" i="99"/>
  <c r="AU109" i="99"/>
  <c r="AU110" i="99"/>
  <c r="AU111" i="99"/>
  <c r="AU12" i="99"/>
  <c r="AT12" i="95"/>
  <c r="AT13" i="95"/>
  <c r="AT14" i="95"/>
  <c r="AT16" i="95"/>
  <c r="AT17" i="95"/>
  <c r="AT18" i="95"/>
  <c r="AT19" i="95"/>
  <c r="AT20" i="95"/>
  <c r="AT21" i="95"/>
  <c r="AT22" i="95"/>
  <c r="AT23" i="95"/>
  <c r="AT24" i="95"/>
  <c r="AT25" i="95"/>
  <c r="AT26" i="95"/>
  <c r="AT27" i="95"/>
  <c r="AT28" i="95"/>
  <c r="AT29" i="95"/>
  <c r="AT30" i="95"/>
  <c r="AT31" i="95"/>
  <c r="AT32" i="95"/>
  <c r="AT33" i="95"/>
  <c r="AT34" i="95"/>
  <c r="AT35" i="95"/>
  <c r="AT36" i="95"/>
  <c r="AT37" i="95"/>
  <c r="AT38" i="95"/>
  <c r="AT39" i="95"/>
  <c r="AT40" i="95"/>
  <c r="AT41" i="95"/>
  <c r="AT42" i="95"/>
  <c r="AT43" i="95"/>
  <c r="AT44" i="95"/>
  <c r="AT45" i="95"/>
  <c r="AT46" i="95"/>
  <c r="AT47" i="95"/>
  <c r="AT48" i="95"/>
  <c r="AT49" i="95"/>
  <c r="AT50" i="95"/>
  <c r="AT51" i="95"/>
  <c r="AT52" i="95"/>
  <c r="AT53" i="95"/>
  <c r="AT54" i="95"/>
  <c r="AT55" i="95"/>
  <c r="AT56" i="95"/>
  <c r="AT57" i="95"/>
  <c r="AT58" i="95"/>
  <c r="AT59" i="95"/>
  <c r="AT60" i="95"/>
  <c r="AT61" i="95"/>
  <c r="AT62" i="95"/>
  <c r="AT63" i="95"/>
  <c r="AT64" i="95"/>
  <c r="AT65" i="95"/>
  <c r="AT66" i="95"/>
  <c r="AT67" i="95"/>
  <c r="AT68" i="95"/>
  <c r="AT69" i="95"/>
  <c r="AT70" i="95"/>
  <c r="AT71" i="95"/>
  <c r="AT72" i="95"/>
  <c r="AT73" i="95"/>
  <c r="AT74" i="95"/>
  <c r="AT75" i="95"/>
  <c r="AT76" i="95"/>
  <c r="AT77" i="95"/>
  <c r="AT78" i="95"/>
  <c r="AT79" i="95"/>
  <c r="AT80" i="95"/>
  <c r="AT81" i="95"/>
  <c r="AT82" i="95"/>
  <c r="AT83" i="95"/>
  <c r="AT84" i="95"/>
  <c r="AT85" i="95"/>
  <c r="AT86" i="95"/>
  <c r="AT87" i="95"/>
  <c r="AT88" i="95"/>
  <c r="AT89" i="95"/>
  <c r="AT90" i="95"/>
  <c r="AT91" i="95"/>
  <c r="AT92" i="95"/>
  <c r="AT93" i="95"/>
  <c r="AT94" i="95"/>
  <c r="AT95" i="95"/>
  <c r="AT96" i="95"/>
  <c r="AT97" i="95"/>
  <c r="AT98" i="95"/>
  <c r="AT99" i="95"/>
  <c r="AT100" i="95"/>
  <c r="AT101" i="95"/>
  <c r="AT102" i="95"/>
  <c r="AT103" i="95"/>
  <c r="AT104" i="95"/>
  <c r="AT105" i="95"/>
  <c r="AT106" i="95"/>
  <c r="AT107" i="95"/>
  <c r="AT108" i="95"/>
  <c r="AT109" i="95"/>
  <c r="AT110" i="95"/>
  <c r="AT111" i="95"/>
  <c r="AY54" i="81"/>
  <c r="AG31" i="73"/>
  <c r="AJ7" i="99" l="1"/>
  <c r="AJ6" i="99"/>
  <c r="AJ5" i="99"/>
  <c r="AJ7" i="95"/>
  <c r="AJ5" i="95"/>
  <c r="AJ6" i="95"/>
  <c r="T33" i="73"/>
  <c r="K13" i="95"/>
  <c r="Z13" i="95"/>
  <c r="K14" i="95"/>
  <c r="BH14" i="95" l="1"/>
  <c r="AN14" i="95"/>
  <c r="BH13" i="95"/>
  <c r="AN13" i="95"/>
  <c r="BA14" i="95"/>
  <c r="AX14" i="95"/>
  <c r="BA13" i="95"/>
  <c r="AX13" i="95"/>
  <c r="AR14" i="95" l="1"/>
  <c r="AQ14" i="95"/>
  <c r="AY14" i="95"/>
  <c r="AO14" i="95"/>
  <c r="AY13" i="95"/>
  <c r="AR13" i="95"/>
  <c r="AQ13" i="95"/>
  <c r="AO13" i="95"/>
  <c r="AU14" i="95"/>
  <c r="AQ40" i="73"/>
  <c r="AQ41" i="73" l="1"/>
  <c r="AQ42" i="73"/>
  <c r="AQ44" i="73"/>
  <c r="AQ45" i="73"/>
  <c r="AQ46" i="73"/>
  <c r="AQ47" i="73"/>
  <c r="AQ48" i="73"/>
  <c r="AQ49" i="73"/>
  <c r="AQ50" i="73"/>
  <c r="AQ51" i="73"/>
  <c r="AQ52" i="73"/>
  <c r="AQ53" i="73"/>
  <c r="AQ54" i="73"/>
  <c r="AQ55" i="73"/>
  <c r="AQ56" i="73"/>
  <c r="AQ57" i="73"/>
  <c r="AQ58" i="73"/>
  <c r="AQ59" i="73"/>
  <c r="AQ60" i="73"/>
  <c r="AQ61" i="73"/>
  <c r="AQ62" i="73"/>
  <c r="AQ63" i="73"/>
  <c r="AQ64" i="73"/>
  <c r="AQ65" i="73"/>
  <c r="AQ66" i="73"/>
  <c r="AQ67" i="73"/>
  <c r="AQ68" i="73"/>
  <c r="AQ69" i="73"/>
  <c r="AQ70" i="73"/>
  <c r="AQ71" i="73"/>
  <c r="AQ72" i="73"/>
  <c r="AQ73" i="73"/>
  <c r="AQ74" i="73"/>
  <c r="AQ75" i="73"/>
  <c r="AQ76" i="73"/>
  <c r="AQ77" i="73"/>
  <c r="AQ78" i="73"/>
  <c r="AQ79" i="73"/>
  <c r="AQ80" i="73"/>
  <c r="AQ81" i="73"/>
  <c r="AQ82" i="73"/>
  <c r="AG82" i="73" s="1"/>
  <c r="AQ83" i="73"/>
  <c r="AQ84" i="73"/>
  <c r="AQ85" i="73"/>
  <c r="AQ86" i="73"/>
  <c r="AQ87" i="73"/>
  <c r="AQ88" i="73"/>
  <c r="AQ89" i="73"/>
  <c r="AG89" i="73" s="1"/>
  <c r="AQ90" i="73"/>
  <c r="AG90" i="73" s="1"/>
  <c r="AQ91" i="73"/>
  <c r="AG91" i="73" s="1"/>
  <c r="AQ92" i="73"/>
  <c r="AG92" i="73" s="1"/>
  <c r="AQ93" i="73"/>
  <c r="AG93" i="73" s="1"/>
  <c r="AQ94" i="73"/>
  <c r="AG94" i="73" s="1"/>
  <c r="AQ95" i="73"/>
  <c r="AG95" i="73" s="1"/>
  <c r="AQ96" i="73"/>
  <c r="AG96" i="73" s="1"/>
  <c r="AQ97" i="73"/>
  <c r="AG97" i="73" s="1"/>
  <c r="AQ98" i="73"/>
  <c r="AG98" i="73" s="1"/>
  <c r="AQ99" i="73"/>
  <c r="AG99" i="73" s="1"/>
  <c r="AQ100" i="73"/>
  <c r="AG100" i="73" s="1"/>
  <c r="AQ101" i="73"/>
  <c r="AG101" i="73" s="1"/>
  <c r="AQ102" i="73"/>
  <c r="AG102" i="73" s="1"/>
  <c r="AQ103" i="73"/>
  <c r="AG103" i="73" s="1"/>
  <c r="AQ104" i="73"/>
  <c r="AG104" i="73" s="1"/>
  <c r="AQ105" i="73"/>
  <c r="AG105" i="73" s="1"/>
  <c r="AQ106" i="73"/>
  <c r="AG106" i="73" s="1"/>
  <c r="AQ107" i="73"/>
  <c r="AG107" i="73" s="1"/>
  <c r="AQ108" i="73"/>
  <c r="AG108" i="73" s="1"/>
  <c r="AQ109" i="73"/>
  <c r="AG109" i="73" s="1"/>
  <c r="AQ110" i="73"/>
  <c r="AG110" i="73" s="1"/>
  <c r="AQ111" i="73"/>
  <c r="AG111" i="73" s="1"/>
  <c r="AQ112" i="73"/>
  <c r="AG112" i="73" s="1"/>
  <c r="AQ113" i="73"/>
  <c r="AG113" i="73" s="1"/>
  <c r="AQ114" i="73"/>
  <c r="AG114" i="73" s="1"/>
  <c r="AQ115" i="73"/>
  <c r="AG115" i="73" s="1"/>
  <c r="AQ116" i="73"/>
  <c r="AG116" i="73" s="1"/>
  <c r="AQ117" i="73"/>
  <c r="AG117" i="73" s="1"/>
  <c r="AQ118" i="73"/>
  <c r="AG118" i="73" s="1"/>
  <c r="AQ119" i="73"/>
  <c r="AG119" i="73" s="1"/>
  <c r="AQ120" i="73"/>
  <c r="AG120" i="73" s="1"/>
  <c r="AQ121" i="73"/>
  <c r="AG121" i="73" s="1"/>
  <c r="AQ122" i="73"/>
  <c r="AG122" i="73" s="1"/>
  <c r="AQ123" i="73"/>
  <c r="AG123" i="73" s="1"/>
  <c r="AQ124" i="73"/>
  <c r="AG124" i="73" s="1"/>
  <c r="AQ125" i="73"/>
  <c r="AG125" i="73" s="1"/>
  <c r="AQ126" i="73"/>
  <c r="AG126" i="73" s="1"/>
  <c r="AQ127" i="73"/>
  <c r="AG127" i="73" s="1"/>
  <c r="AQ128" i="73"/>
  <c r="AG128" i="73" s="1"/>
  <c r="AQ129" i="73"/>
  <c r="AG129" i="73" s="1"/>
  <c r="AQ130" i="73"/>
  <c r="AG130" i="73" s="1"/>
  <c r="AQ131" i="73"/>
  <c r="AG131" i="73" s="1"/>
  <c r="AQ132" i="73"/>
  <c r="AG132" i="73" s="1"/>
  <c r="AQ133" i="73"/>
  <c r="AG133" i="73" s="1"/>
  <c r="AQ134" i="73"/>
  <c r="AG134" i="73" s="1"/>
  <c r="AQ135" i="73"/>
  <c r="AG135" i="73" s="1"/>
  <c r="AQ136" i="73"/>
  <c r="AG136" i="73" s="1"/>
  <c r="AQ137" i="73"/>
  <c r="AG137" i="73" s="1"/>
  <c r="AQ138" i="73"/>
  <c r="AG138" i="73" s="1"/>
  <c r="AQ139" i="73"/>
  <c r="AG139" i="73" s="1"/>
  <c r="AP41" i="73"/>
  <c r="AP42" i="73"/>
  <c r="AP44" i="73"/>
  <c r="AP45" i="73"/>
  <c r="AP46" i="73"/>
  <c r="AP47" i="73"/>
  <c r="AP48" i="73"/>
  <c r="AP49" i="73"/>
  <c r="AP50" i="73"/>
  <c r="AP51" i="73"/>
  <c r="AP52" i="73"/>
  <c r="AP53" i="73"/>
  <c r="AP54" i="73"/>
  <c r="AP55" i="73"/>
  <c r="AP56" i="73"/>
  <c r="AP57" i="73"/>
  <c r="AP58" i="73"/>
  <c r="AP59" i="73"/>
  <c r="AP60" i="73"/>
  <c r="AP61" i="73"/>
  <c r="AP62" i="73"/>
  <c r="AP63" i="73"/>
  <c r="AP64" i="73"/>
  <c r="AP65" i="73"/>
  <c r="AP66" i="73"/>
  <c r="AP67" i="73"/>
  <c r="AP68" i="73"/>
  <c r="AP69" i="73"/>
  <c r="AP70" i="73"/>
  <c r="AP71" i="73"/>
  <c r="AP72" i="73"/>
  <c r="AP73" i="73"/>
  <c r="AP74" i="73"/>
  <c r="AP75" i="73"/>
  <c r="AP76" i="73"/>
  <c r="AP77" i="73"/>
  <c r="AP78" i="73"/>
  <c r="AP79" i="73"/>
  <c r="AP80" i="73"/>
  <c r="AP81" i="73"/>
  <c r="AP82" i="73"/>
  <c r="AP83" i="73"/>
  <c r="AP84" i="73"/>
  <c r="AP85" i="73"/>
  <c r="AP86" i="73"/>
  <c r="AP87" i="73"/>
  <c r="AP88" i="73"/>
  <c r="AP89" i="73"/>
  <c r="AP90" i="73"/>
  <c r="AP91" i="73"/>
  <c r="AP92" i="73"/>
  <c r="AP93" i="73"/>
  <c r="AP94" i="73"/>
  <c r="AP95" i="73"/>
  <c r="AP96" i="73"/>
  <c r="AP97" i="73"/>
  <c r="AP98" i="73"/>
  <c r="AP99" i="73"/>
  <c r="AP100" i="73"/>
  <c r="AP101" i="73"/>
  <c r="AP102" i="73"/>
  <c r="AP103" i="73"/>
  <c r="AP104" i="73"/>
  <c r="AP105" i="73"/>
  <c r="AP106" i="73"/>
  <c r="AP107" i="73"/>
  <c r="AP108" i="73"/>
  <c r="AP109" i="73"/>
  <c r="AP110" i="73"/>
  <c r="AP111" i="73"/>
  <c r="AP112" i="73"/>
  <c r="AP113" i="73"/>
  <c r="AP114" i="73"/>
  <c r="AP115" i="73"/>
  <c r="AP116" i="73"/>
  <c r="AP117" i="73"/>
  <c r="AP118" i="73"/>
  <c r="AP119" i="73"/>
  <c r="AP120" i="73"/>
  <c r="AP121" i="73"/>
  <c r="AP122" i="73"/>
  <c r="AP123" i="73"/>
  <c r="AP124" i="73"/>
  <c r="AP125" i="73"/>
  <c r="AP126" i="73"/>
  <c r="AP127" i="73"/>
  <c r="AP128" i="73"/>
  <c r="AP129" i="73"/>
  <c r="AP130" i="73"/>
  <c r="AP131" i="73"/>
  <c r="AP132" i="73"/>
  <c r="AP133" i="73"/>
  <c r="AP134" i="73"/>
  <c r="AP135" i="73"/>
  <c r="AP136" i="73"/>
  <c r="AP137" i="73"/>
  <c r="AP138" i="73"/>
  <c r="AP139" i="73"/>
  <c r="T123" i="91"/>
  <c r="AA123" i="91"/>
  <c r="Z12" i="91"/>
  <c r="L12" i="91"/>
  <c r="H11" i="91"/>
  <c r="H10" i="91"/>
  <c r="H9" i="91"/>
  <c r="H8" i="91"/>
  <c r="H6" i="91"/>
  <c r="H5" i="91"/>
  <c r="AF1" i="91"/>
  <c r="AK118" i="91" l="1"/>
  <c r="AK145" i="91" s="1"/>
  <c r="AK106" i="91"/>
  <c r="AK144" i="91" s="1"/>
  <c r="AT13" i="99"/>
  <c r="AR14" i="99"/>
  <c r="AT14" i="99"/>
  <c r="AR16" i="99"/>
  <c r="AT16" i="99"/>
  <c r="BA16" i="99"/>
  <c r="AR17" i="99"/>
  <c r="AT17" i="99"/>
  <c r="BA17" i="99"/>
  <c r="AR18" i="99"/>
  <c r="AT18" i="99"/>
  <c r="BA18" i="99"/>
  <c r="AR19" i="99"/>
  <c r="AT19" i="99"/>
  <c r="BA19" i="99"/>
  <c r="AR20" i="99"/>
  <c r="AT20" i="99"/>
  <c r="BA20" i="99"/>
  <c r="AR21" i="99"/>
  <c r="AT21" i="99"/>
  <c r="BA21" i="99"/>
  <c r="AR22" i="99"/>
  <c r="AT22" i="99"/>
  <c r="BA22" i="99"/>
  <c r="AR23" i="99"/>
  <c r="AT23" i="99"/>
  <c r="BA23" i="99"/>
  <c r="AR24" i="99"/>
  <c r="AT24" i="99"/>
  <c r="BA24" i="99"/>
  <c r="AR25" i="99"/>
  <c r="AT25" i="99"/>
  <c r="BA25" i="99"/>
  <c r="AR26" i="99"/>
  <c r="AT26" i="99"/>
  <c r="BA26" i="99"/>
  <c r="AR27" i="99"/>
  <c r="AT27" i="99"/>
  <c r="BA27" i="99"/>
  <c r="AR28" i="99"/>
  <c r="AT28" i="99"/>
  <c r="BA28" i="99"/>
  <c r="AR29" i="99"/>
  <c r="AT29" i="99"/>
  <c r="BA29" i="99"/>
  <c r="AR30" i="99"/>
  <c r="AT30" i="99"/>
  <c r="BA30" i="99"/>
  <c r="AR31" i="99"/>
  <c r="AT31" i="99"/>
  <c r="BA31" i="99"/>
  <c r="AR32" i="99"/>
  <c r="AT32" i="99"/>
  <c r="BA32" i="99"/>
  <c r="AR33" i="99"/>
  <c r="AT33" i="99"/>
  <c r="BA33" i="99"/>
  <c r="AR34" i="99"/>
  <c r="AT34" i="99"/>
  <c r="BA34" i="99"/>
  <c r="AR35" i="99"/>
  <c r="AT35" i="99"/>
  <c r="BA35" i="99"/>
  <c r="AR36" i="99"/>
  <c r="AT36" i="99"/>
  <c r="BA36" i="99"/>
  <c r="AR37" i="99"/>
  <c r="AT37" i="99"/>
  <c r="BA37" i="99"/>
  <c r="AR38" i="99"/>
  <c r="AT38" i="99"/>
  <c r="BA38" i="99"/>
  <c r="AR39" i="99"/>
  <c r="AT39" i="99"/>
  <c r="BA39" i="99"/>
  <c r="AR40" i="99"/>
  <c r="AT40" i="99"/>
  <c r="BA40" i="99"/>
  <c r="AR41" i="99"/>
  <c r="AT41" i="99"/>
  <c r="BA41" i="99"/>
  <c r="AR42" i="99"/>
  <c r="AT42" i="99"/>
  <c r="BA42" i="99"/>
  <c r="AR43" i="99"/>
  <c r="AT43" i="99"/>
  <c r="BA43" i="99"/>
  <c r="AR44" i="99"/>
  <c r="AT44" i="99"/>
  <c r="BA44" i="99"/>
  <c r="AR45" i="99"/>
  <c r="AT45" i="99"/>
  <c r="BA45" i="99"/>
  <c r="AR46" i="99"/>
  <c r="AT46" i="99"/>
  <c r="BA46" i="99"/>
  <c r="AR47" i="99"/>
  <c r="AT47" i="99"/>
  <c r="BA47" i="99"/>
  <c r="AR48" i="99"/>
  <c r="AT48" i="99"/>
  <c r="BA48" i="99"/>
  <c r="AR49" i="99"/>
  <c r="AT49" i="99"/>
  <c r="BA49" i="99"/>
  <c r="AR50" i="99"/>
  <c r="AT50" i="99"/>
  <c r="BA50" i="99"/>
  <c r="AR51" i="99"/>
  <c r="AT51" i="99"/>
  <c r="BA51" i="99"/>
  <c r="AR52" i="99"/>
  <c r="AT52" i="99"/>
  <c r="BA52" i="99"/>
  <c r="AR53" i="99"/>
  <c r="AT53" i="99"/>
  <c r="BA53" i="99"/>
  <c r="AR54" i="99"/>
  <c r="AT54" i="99"/>
  <c r="BA54" i="99"/>
  <c r="AR55" i="99"/>
  <c r="AT55" i="99"/>
  <c r="BA55" i="99"/>
  <c r="AR56" i="99"/>
  <c r="AT56" i="99"/>
  <c r="BA56" i="99"/>
  <c r="AR57" i="99"/>
  <c r="AT57" i="99"/>
  <c r="BA57" i="99"/>
  <c r="AR58" i="99"/>
  <c r="AT58" i="99"/>
  <c r="BA58" i="99"/>
  <c r="AR59" i="99"/>
  <c r="AT59" i="99"/>
  <c r="BA59" i="99"/>
  <c r="AR60" i="99"/>
  <c r="AT60" i="99"/>
  <c r="BA60" i="99"/>
  <c r="AR61" i="99"/>
  <c r="AT61" i="99"/>
  <c r="BA61" i="99"/>
  <c r="AR62" i="99"/>
  <c r="AT62" i="99"/>
  <c r="BA62" i="99"/>
  <c r="AR63" i="99"/>
  <c r="AT63" i="99"/>
  <c r="BA63" i="99"/>
  <c r="AR64" i="99"/>
  <c r="AT64" i="99"/>
  <c r="BA64" i="99"/>
  <c r="AR65" i="99"/>
  <c r="AT65" i="99"/>
  <c r="BA65" i="99"/>
  <c r="AR66" i="99"/>
  <c r="AT66" i="99"/>
  <c r="BA66" i="99"/>
  <c r="AR67" i="99"/>
  <c r="AT67" i="99"/>
  <c r="BA67" i="99"/>
  <c r="AR68" i="99"/>
  <c r="AT68" i="99"/>
  <c r="BA68" i="99"/>
  <c r="AR69" i="99"/>
  <c r="AT69" i="99"/>
  <c r="BA69" i="99"/>
  <c r="AR70" i="99"/>
  <c r="AT70" i="99"/>
  <c r="BA70" i="99"/>
  <c r="AR71" i="99"/>
  <c r="AT71" i="99"/>
  <c r="BA71" i="99"/>
  <c r="AR72" i="99"/>
  <c r="AT72" i="99"/>
  <c r="BA72" i="99"/>
  <c r="AR73" i="99"/>
  <c r="AT73" i="99"/>
  <c r="BA73" i="99"/>
  <c r="AR74" i="99"/>
  <c r="AT74" i="99"/>
  <c r="BA74" i="99"/>
  <c r="AR75" i="99"/>
  <c r="AT75" i="99"/>
  <c r="BA75" i="99"/>
  <c r="AR76" i="99"/>
  <c r="AT76" i="99"/>
  <c r="BA76" i="99"/>
  <c r="AR77" i="99"/>
  <c r="AT77" i="99"/>
  <c r="BA77" i="99"/>
  <c r="AR78" i="99"/>
  <c r="AT78" i="99"/>
  <c r="BA78" i="99"/>
  <c r="AR79" i="99"/>
  <c r="AT79" i="99"/>
  <c r="BA79" i="99"/>
  <c r="AR80" i="99"/>
  <c r="AT80" i="99"/>
  <c r="BA80" i="99"/>
  <c r="AR81" i="99"/>
  <c r="AT81" i="99"/>
  <c r="BA81" i="99"/>
  <c r="AR82" i="99"/>
  <c r="AT82" i="99"/>
  <c r="BA82" i="99"/>
  <c r="AR83" i="99"/>
  <c r="AT83" i="99"/>
  <c r="BA83" i="99"/>
  <c r="AR84" i="99"/>
  <c r="AT84" i="99"/>
  <c r="BA84" i="99"/>
  <c r="AR85" i="99"/>
  <c r="AT85" i="99"/>
  <c r="BA85" i="99"/>
  <c r="AR86" i="99"/>
  <c r="AT86" i="99"/>
  <c r="BA86" i="99"/>
  <c r="AR87" i="99"/>
  <c r="AT87" i="99"/>
  <c r="BA87" i="99"/>
  <c r="AR88" i="99"/>
  <c r="AT88" i="99"/>
  <c r="BA88" i="99"/>
  <c r="AR89" i="99"/>
  <c r="AT89" i="99"/>
  <c r="BA89" i="99"/>
  <c r="AR90" i="99"/>
  <c r="AT90" i="99"/>
  <c r="BA90" i="99"/>
  <c r="AR91" i="99"/>
  <c r="AT91" i="99"/>
  <c r="BA91" i="99"/>
  <c r="AR92" i="99"/>
  <c r="AT92" i="99"/>
  <c r="BA92" i="99"/>
  <c r="AR93" i="99"/>
  <c r="AT93" i="99"/>
  <c r="BA93" i="99"/>
  <c r="AR94" i="99"/>
  <c r="AT94" i="99"/>
  <c r="BA94" i="99"/>
  <c r="AR95" i="99"/>
  <c r="AT95" i="99"/>
  <c r="BA95" i="99"/>
  <c r="AR96" i="99"/>
  <c r="AT96" i="99"/>
  <c r="BA96" i="99"/>
  <c r="AR97" i="99"/>
  <c r="AT97" i="99"/>
  <c r="BA97" i="99"/>
  <c r="AR98" i="99"/>
  <c r="AT98" i="99"/>
  <c r="BA98" i="99"/>
  <c r="AR99" i="99"/>
  <c r="AT99" i="99"/>
  <c r="BA99" i="99"/>
  <c r="AR100" i="99"/>
  <c r="AT100" i="99"/>
  <c r="BA100" i="99"/>
  <c r="AR101" i="99"/>
  <c r="AT101" i="99"/>
  <c r="BA101" i="99"/>
  <c r="AR102" i="99"/>
  <c r="AT102" i="99"/>
  <c r="BA102" i="99"/>
  <c r="AR103" i="99"/>
  <c r="AT103" i="99"/>
  <c r="BA103" i="99"/>
  <c r="AR104" i="99"/>
  <c r="AT104" i="99"/>
  <c r="BA104" i="99"/>
  <c r="AR105" i="99"/>
  <c r="AT105" i="99"/>
  <c r="BA105" i="99"/>
  <c r="AR106" i="99"/>
  <c r="AT106" i="99"/>
  <c r="BA106" i="99"/>
  <c r="AR107" i="99"/>
  <c r="AT107" i="99"/>
  <c r="BA107" i="99"/>
  <c r="AR108" i="99"/>
  <c r="AT108" i="99"/>
  <c r="BA108" i="99"/>
  <c r="AR109" i="99"/>
  <c r="AT109" i="99"/>
  <c r="BA109" i="99"/>
  <c r="AR110" i="99"/>
  <c r="AT110" i="99"/>
  <c r="BA110" i="99"/>
  <c r="AR111" i="99"/>
  <c r="AT111" i="99"/>
  <c r="BA111" i="99"/>
  <c r="AT12" i="99"/>
  <c r="BA12" i="99"/>
  <c r="K111" i="99"/>
  <c r="J111" i="99"/>
  <c r="I111" i="99"/>
  <c r="H111" i="99"/>
  <c r="G111" i="99"/>
  <c r="BI111" i="99" s="1"/>
  <c r="B111" i="99"/>
  <c r="K110" i="99"/>
  <c r="J110" i="99"/>
  <c r="I110" i="99"/>
  <c r="H110" i="99"/>
  <c r="G110" i="99"/>
  <c r="BI110" i="99" s="1"/>
  <c r="B110" i="99"/>
  <c r="K109" i="99"/>
  <c r="J109" i="99"/>
  <c r="I109" i="99"/>
  <c r="H109" i="99"/>
  <c r="G109" i="99"/>
  <c r="BI109" i="99" s="1"/>
  <c r="B109" i="99"/>
  <c r="K108" i="99"/>
  <c r="J108" i="99"/>
  <c r="I108" i="99"/>
  <c r="H108" i="99"/>
  <c r="G108" i="99"/>
  <c r="BI108" i="99" s="1"/>
  <c r="B108" i="99"/>
  <c r="K107" i="99"/>
  <c r="J107" i="99"/>
  <c r="I107" i="99"/>
  <c r="H107" i="99"/>
  <c r="G107" i="99"/>
  <c r="BI107" i="99" s="1"/>
  <c r="B107" i="99"/>
  <c r="K106" i="99"/>
  <c r="J106" i="99"/>
  <c r="I106" i="99"/>
  <c r="H106" i="99"/>
  <c r="G106" i="99"/>
  <c r="BI106" i="99" s="1"/>
  <c r="B106" i="99"/>
  <c r="K105" i="99"/>
  <c r="J105" i="99"/>
  <c r="I105" i="99"/>
  <c r="H105" i="99"/>
  <c r="G105" i="99"/>
  <c r="BI105" i="99" s="1"/>
  <c r="B105" i="99"/>
  <c r="K104" i="99"/>
  <c r="J104" i="99"/>
  <c r="I104" i="99"/>
  <c r="H104" i="99"/>
  <c r="G104" i="99"/>
  <c r="BI104" i="99" s="1"/>
  <c r="B104" i="99"/>
  <c r="K103" i="99"/>
  <c r="J103" i="99"/>
  <c r="I103" i="99"/>
  <c r="H103" i="99"/>
  <c r="G103" i="99"/>
  <c r="BI103" i="99" s="1"/>
  <c r="B103" i="99"/>
  <c r="K102" i="99"/>
  <c r="J102" i="99"/>
  <c r="I102" i="99"/>
  <c r="H102" i="99"/>
  <c r="G102" i="99"/>
  <c r="BI102" i="99" s="1"/>
  <c r="B102" i="99"/>
  <c r="K101" i="99"/>
  <c r="J101" i="99"/>
  <c r="I101" i="99"/>
  <c r="H101" i="99"/>
  <c r="G101" i="99"/>
  <c r="BI101" i="99" s="1"/>
  <c r="B101" i="99"/>
  <c r="K100" i="99"/>
  <c r="J100" i="99"/>
  <c r="I100" i="99"/>
  <c r="H100" i="99"/>
  <c r="G100" i="99"/>
  <c r="BI100" i="99" s="1"/>
  <c r="B100" i="99"/>
  <c r="K99" i="99"/>
  <c r="J99" i="99"/>
  <c r="I99" i="99"/>
  <c r="H99" i="99"/>
  <c r="G99" i="99"/>
  <c r="BI99" i="99" s="1"/>
  <c r="B99" i="99"/>
  <c r="K98" i="99"/>
  <c r="J98" i="99"/>
  <c r="I98" i="99"/>
  <c r="H98" i="99"/>
  <c r="G98" i="99"/>
  <c r="BI98" i="99" s="1"/>
  <c r="B98" i="99"/>
  <c r="K97" i="99"/>
  <c r="J97" i="99"/>
  <c r="I97" i="99"/>
  <c r="H97" i="99"/>
  <c r="G97" i="99"/>
  <c r="BI97" i="99" s="1"/>
  <c r="B97" i="99"/>
  <c r="K96" i="99"/>
  <c r="J96" i="99"/>
  <c r="I96" i="99"/>
  <c r="H96" i="99"/>
  <c r="G96" i="99"/>
  <c r="BI96" i="99" s="1"/>
  <c r="B96" i="99"/>
  <c r="K95" i="99"/>
  <c r="J95" i="99"/>
  <c r="I95" i="99"/>
  <c r="H95" i="99"/>
  <c r="G95" i="99"/>
  <c r="BI95" i="99" s="1"/>
  <c r="B95" i="99"/>
  <c r="K94" i="99"/>
  <c r="J94" i="99"/>
  <c r="I94" i="99"/>
  <c r="H94" i="99"/>
  <c r="G94" i="99"/>
  <c r="BI94" i="99" s="1"/>
  <c r="B94" i="99"/>
  <c r="K93" i="99"/>
  <c r="J93" i="99"/>
  <c r="I93" i="99"/>
  <c r="H93" i="99"/>
  <c r="G93" i="99"/>
  <c r="BI93" i="99" s="1"/>
  <c r="B93" i="99"/>
  <c r="K92" i="99"/>
  <c r="J92" i="99"/>
  <c r="I92" i="99"/>
  <c r="H92" i="99"/>
  <c r="G92" i="99"/>
  <c r="BI92" i="99" s="1"/>
  <c r="B92" i="99"/>
  <c r="K91" i="99"/>
  <c r="J91" i="99"/>
  <c r="I91" i="99"/>
  <c r="H91" i="99"/>
  <c r="G91" i="99"/>
  <c r="BI91" i="99" s="1"/>
  <c r="B91" i="99"/>
  <c r="K90" i="99"/>
  <c r="J90" i="99"/>
  <c r="I90" i="99"/>
  <c r="H90" i="99"/>
  <c r="G90" i="99"/>
  <c r="BI90" i="99" s="1"/>
  <c r="B90" i="99"/>
  <c r="K89" i="99"/>
  <c r="J89" i="99"/>
  <c r="I89" i="99"/>
  <c r="H89" i="99"/>
  <c r="G89" i="99"/>
  <c r="BI89" i="99" s="1"/>
  <c r="B89" i="99"/>
  <c r="K88" i="99"/>
  <c r="J88" i="99"/>
  <c r="I88" i="99"/>
  <c r="H88" i="99"/>
  <c r="G88" i="99"/>
  <c r="BI88" i="99" s="1"/>
  <c r="B88" i="99"/>
  <c r="K87" i="99"/>
  <c r="J87" i="99"/>
  <c r="I87" i="99"/>
  <c r="H87" i="99"/>
  <c r="G87" i="99"/>
  <c r="BI87" i="99" s="1"/>
  <c r="B87" i="99"/>
  <c r="K86" i="99"/>
  <c r="J86" i="99"/>
  <c r="I86" i="99"/>
  <c r="H86" i="99"/>
  <c r="G86" i="99"/>
  <c r="BI86" i="99" s="1"/>
  <c r="B86" i="99"/>
  <c r="K85" i="99"/>
  <c r="J85" i="99"/>
  <c r="I85" i="99"/>
  <c r="H85" i="99"/>
  <c r="G85" i="99"/>
  <c r="BI85" i="99" s="1"/>
  <c r="B85" i="99"/>
  <c r="K84" i="99"/>
  <c r="J84" i="99"/>
  <c r="I84" i="99"/>
  <c r="H84" i="99"/>
  <c r="G84" i="99"/>
  <c r="BI84" i="99" s="1"/>
  <c r="B84" i="99"/>
  <c r="K83" i="99"/>
  <c r="J83" i="99"/>
  <c r="I83" i="99"/>
  <c r="H83" i="99"/>
  <c r="G83" i="99"/>
  <c r="BI83" i="99" s="1"/>
  <c r="B83" i="99"/>
  <c r="K82" i="99"/>
  <c r="J82" i="99"/>
  <c r="I82" i="99"/>
  <c r="H82" i="99"/>
  <c r="G82" i="99"/>
  <c r="BI82" i="99" s="1"/>
  <c r="B82" i="99"/>
  <c r="K81" i="99"/>
  <c r="J81" i="99"/>
  <c r="I81" i="99"/>
  <c r="H81" i="99"/>
  <c r="G81" i="99"/>
  <c r="BI81" i="99" s="1"/>
  <c r="B81" i="99"/>
  <c r="K80" i="99"/>
  <c r="J80" i="99"/>
  <c r="I80" i="99"/>
  <c r="H80" i="99"/>
  <c r="G80" i="99"/>
  <c r="BI80" i="99" s="1"/>
  <c r="B80" i="99"/>
  <c r="K79" i="99"/>
  <c r="J79" i="99"/>
  <c r="I79" i="99"/>
  <c r="H79" i="99"/>
  <c r="G79" i="99"/>
  <c r="BI79" i="99" s="1"/>
  <c r="B79" i="99"/>
  <c r="K78" i="99"/>
  <c r="J78" i="99"/>
  <c r="I78" i="99"/>
  <c r="H78" i="99"/>
  <c r="G78" i="99"/>
  <c r="BI78" i="99" s="1"/>
  <c r="B78" i="99"/>
  <c r="K77" i="99"/>
  <c r="J77" i="99"/>
  <c r="I77" i="99"/>
  <c r="H77" i="99"/>
  <c r="G77" i="99"/>
  <c r="BI77" i="99" s="1"/>
  <c r="B77" i="99"/>
  <c r="K76" i="99"/>
  <c r="J76" i="99"/>
  <c r="I76" i="99"/>
  <c r="H76" i="99"/>
  <c r="G76" i="99"/>
  <c r="BI76" i="99" s="1"/>
  <c r="B76" i="99"/>
  <c r="K75" i="99"/>
  <c r="J75" i="99"/>
  <c r="I75" i="99"/>
  <c r="H75" i="99"/>
  <c r="G75" i="99"/>
  <c r="BI75" i="99" s="1"/>
  <c r="B75" i="99"/>
  <c r="K74" i="99"/>
  <c r="J74" i="99"/>
  <c r="I74" i="99"/>
  <c r="H74" i="99"/>
  <c r="G74" i="99"/>
  <c r="BI74" i="99" s="1"/>
  <c r="B74" i="99"/>
  <c r="K73" i="99"/>
  <c r="J73" i="99"/>
  <c r="I73" i="99"/>
  <c r="H73" i="99"/>
  <c r="G73" i="99"/>
  <c r="BI73" i="99" s="1"/>
  <c r="B73" i="99"/>
  <c r="K72" i="99"/>
  <c r="J72" i="99"/>
  <c r="I72" i="99"/>
  <c r="H72" i="99"/>
  <c r="G72" i="99"/>
  <c r="BI72" i="99" s="1"/>
  <c r="B72" i="99"/>
  <c r="K71" i="99"/>
  <c r="J71" i="99"/>
  <c r="I71" i="99"/>
  <c r="H71" i="99"/>
  <c r="G71" i="99"/>
  <c r="BI71" i="99" s="1"/>
  <c r="B71" i="99"/>
  <c r="K70" i="99"/>
  <c r="J70" i="99"/>
  <c r="I70" i="99"/>
  <c r="H70" i="99"/>
  <c r="G70" i="99"/>
  <c r="BI70" i="99" s="1"/>
  <c r="B70" i="99"/>
  <c r="K69" i="99"/>
  <c r="J69" i="99"/>
  <c r="I69" i="99"/>
  <c r="H69" i="99"/>
  <c r="G69" i="99"/>
  <c r="BI69" i="99" s="1"/>
  <c r="B69" i="99"/>
  <c r="K68" i="99"/>
  <c r="J68" i="99"/>
  <c r="I68" i="99"/>
  <c r="H68" i="99"/>
  <c r="G68" i="99"/>
  <c r="BI68" i="99" s="1"/>
  <c r="B68" i="99"/>
  <c r="K67" i="99"/>
  <c r="J67" i="99"/>
  <c r="I67" i="99"/>
  <c r="H67" i="99"/>
  <c r="G67" i="99"/>
  <c r="BI67" i="99" s="1"/>
  <c r="B67" i="99"/>
  <c r="K66" i="99"/>
  <c r="J66" i="99"/>
  <c r="I66" i="99"/>
  <c r="H66" i="99"/>
  <c r="G66" i="99"/>
  <c r="BI66" i="99" s="1"/>
  <c r="B66" i="99"/>
  <c r="K65" i="99"/>
  <c r="J65" i="99"/>
  <c r="I65" i="99"/>
  <c r="H65" i="99"/>
  <c r="G65" i="99"/>
  <c r="BI65" i="99" s="1"/>
  <c r="B65" i="99"/>
  <c r="K64" i="99"/>
  <c r="J64" i="99"/>
  <c r="I64" i="99"/>
  <c r="H64" i="99"/>
  <c r="G64" i="99"/>
  <c r="BI64" i="99" s="1"/>
  <c r="B64" i="99"/>
  <c r="K63" i="99"/>
  <c r="J63" i="99"/>
  <c r="I63" i="99"/>
  <c r="H63" i="99"/>
  <c r="G63" i="99"/>
  <c r="BI63" i="99" s="1"/>
  <c r="B63" i="99"/>
  <c r="K62" i="99"/>
  <c r="J62" i="99"/>
  <c r="I62" i="99"/>
  <c r="H62" i="99"/>
  <c r="G62" i="99"/>
  <c r="BI62" i="99" s="1"/>
  <c r="B62" i="99"/>
  <c r="K61" i="99"/>
  <c r="J61" i="99"/>
  <c r="I61" i="99"/>
  <c r="H61" i="99"/>
  <c r="G61" i="99"/>
  <c r="BI61" i="99" s="1"/>
  <c r="B61" i="99"/>
  <c r="K60" i="99"/>
  <c r="J60" i="99"/>
  <c r="I60" i="99"/>
  <c r="H60" i="99"/>
  <c r="G60" i="99"/>
  <c r="BI60" i="99" s="1"/>
  <c r="B60" i="99"/>
  <c r="K59" i="99"/>
  <c r="J59" i="99"/>
  <c r="I59" i="99"/>
  <c r="H59" i="99"/>
  <c r="G59" i="99"/>
  <c r="BI59" i="99" s="1"/>
  <c r="B59" i="99"/>
  <c r="K58" i="99"/>
  <c r="J58" i="99"/>
  <c r="I58" i="99"/>
  <c r="H58" i="99"/>
  <c r="G58" i="99"/>
  <c r="BI58" i="99" s="1"/>
  <c r="B58" i="99"/>
  <c r="K57" i="99"/>
  <c r="J57" i="99"/>
  <c r="I57" i="99"/>
  <c r="H57" i="99"/>
  <c r="G57" i="99"/>
  <c r="BI57" i="99" s="1"/>
  <c r="B57" i="99"/>
  <c r="K56" i="99"/>
  <c r="J56" i="99"/>
  <c r="I56" i="99"/>
  <c r="H56" i="99"/>
  <c r="G56" i="99"/>
  <c r="BI56" i="99" s="1"/>
  <c r="B56" i="99"/>
  <c r="K55" i="99"/>
  <c r="J55" i="99"/>
  <c r="I55" i="99"/>
  <c r="H55" i="99"/>
  <c r="G55" i="99"/>
  <c r="BI55" i="99" s="1"/>
  <c r="B55" i="99"/>
  <c r="K54" i="99"/>
  <c r="J54" i="99"/>
  <c r="I54" i="99"/>
  <c r="H54" i="99"/>
  <c r="G54" i="99"/>
  <c r="BI54" i="99" s="1"/>
  <c r="B54" i="99"/>
  <c r="K53" i="99"/>
  <c r="J53" i="99"/>
  <c r="I53" i="99"/>
  <c r="H53" i="99"/>
  <c r="G53" i="99"/>
  <c r="BI53" i="99" s="1"/>
  <c r="B53" i="99"/>
  <c r="K52" i="99"/>
  <c r="J52" i="99"/>
  <c r="I52" i="99"/>
  <c r="H52" i="99"/>
  <c r="G52" i="99"/>
  <c r="BI52" i="99" s="1"/>
  <c r="B52" i="99"/>
  <c r="K51" i="99"/>
  <c r="J51" i="99"/>
  <c r="I51" i="99"/>
  <c r="H51" i="99"/>
  <c r="G51" i="99"/>
  <c r="BI51" i="99" s="1"/>
  <c r="B51" i="99"/>
  <c r="K50" i="99"/>
  <c r="J50" i="99"/>
  <c r="I50" i="99"/>
  <c r="H50" i="99"/>
  <c r="G50" i="99"/>
  <c r="BI50" i="99" s="1"/>
  <c r="B50" i="99"/>
  <c r="K49" i="99"/>
  <c r="J49" i="99"/>
  <c r="I49" i="99"/>
  <c r="H49" i="99"/>
  <c r="G49" i="99"/>
  <c r="BI49" i="99" s="1"/>
  <c r="B49" i="99"/>
  <c r="K48" i="99"/>
  <c r="J48" i="99"/>
  <c r="I48" i="99"/>
  <c r="H48" i="99"/>
  <c r="G48" i="99"/>
  <c r="BI48" i="99" s="1"/>
  <c r="B48" i="99"/>
  <c r="K47" i="99"/>
  <c r="J47" i="99"/>
  <c r="I47" i="99"/>
  <c r="H47" i="99"/>
  <c r="G47" i="99"/>
  <c r="BI47" i="99" s="1"/>
  <c r="B47" i="99"/>
  <c r="K46" i="99"/>
  <c r="J46" i="99"/>
  <c r="I46" i="99"/>
  <c r="H46" i="99"/>
  <c r="G46" i="99"/>
  <c r="BI46" i="99" s="1"/>
  <c r="B46" i="99"/>
  <c r="K45" i="99"/>
  <c r="J45" i="99"/>
  <c r="I45" i="99"/>
  <c r="H45" i="99"/>
  <c r="G45" i="99"/>
  <c r="BI45" i="99" s="1"/>
  <c r="B45" i="99"/>
  <c r="K44" i="99"/>
  <c r="J44" i="99"/>
  <c r="I44" i="99"/>
  <c r="H44" i="99"/>
  <c r="G44" i="99"/>
  <c r="BI44" i="99" s="1"/>
  <c r="B44" i="99"/>
  <c r="K43" i="99"/>
  <c r="J43" i="99"/>
  <c r="I43" i="99"/>
  <c r="H43" i="99"/>
  <c r="G43" i="99"/>
  <c r="BI43" i="99" s="1"/>
  <c r="B43" i="99"/>
  <c r="K42" i="99"/>
  <c r="J42" i="99"/>
  <c r="I42" i="99"/>
  <c r="H42" i="99"/>
  <c r="G42" i="99"/>
  <c r="BI42" i="99" s="1"/>
  <c r="B42" i="99"/>
  <c r="K41" i="99"/>
  <c r="J41" i="99"/>
  <c r="I41" i="99"/>
  <c r="H41" i="99"/>
  <c r="G41" i="99"/>
  <c r="BI41" i="99" s="1"/>
  <c r="B41" i="99"/>
  <c r="K40" i="99"/>
  <c r="J40" i="99"/>
  <c r="I40" i="99"/>
  <c r="H40" i="99"/>
  <c r="G40" i="99"/>
  <c r="BI40" i="99" s="1"/>
  <c r="B40" i="99"/>
  <c r="K39" i="99"/>
  <c r="J39" i="99"/>
  <c r="I39" i="99"/>
  <c r="H39" i="99"/>
  <c r="G39" i="99"/>
  <c r="BI39" i="99" s="1"/>
  <c r="B39" i="99"/>
  <c r="K38" i="99"/>
  <c r="J38" i="99"/>
  <c r="I38" i="99"/>
  <c r="H38" i="99"/>
  <c r="G38" i="99"/>
  <c r="BI38" i="99" s="1"/>
  <c r="B38" i="99"/>
  <c r="K37" i="99"/>
  <c r="J37" i="99"/>
  <c r="I37" i="99"/>
  <c r="H37" i="99"/>
  <c r="G37" i="99"/>
  <c r="BI37" i="99" s="1"/>
  <c r="B37" i="99"/>
  <c r="K36" i="99"/>
  <c r="J36" i="99"/>
  <c r="I36" i="99"/>
  <c r="H36" i="99"/>
  <c r="G36" i="99"/>
  <c r="BI36" i="99" s="1"/>
  <c r="B36" i="99"/>
  <c r="K35" i="99"/>
  <c r="J35" i="99"/>
  <c r="I35" i="99"/>
  <c r="H35" i="99"/>
  <c r="G35" i="99"/>
  <c r="BI35" i="99" s="1"/>
  <c r="B35" i="99"/>
  <c r="K34" i="99"/>
  <c r="J34" i="99"/>
  <c r="I34" i="99"/>
  <c r="H34" i="99"/>
  <c r="G34" i="99"/>
  <c r="BI34" i="99" s="1"/>
  <c r="B34" i="99"/>
  <c r="K33" i="99"/>
  <c r="J33" i="99"/>
  <c r="I33" i="99"/>
  <c r="H33" i="99"/>
  <c r="G33" i="99"/>
  <c r="BI33" i="99" s="1"/>
  <c r="B33" i="99"/>
  <c r="K32" i="99"/>
  <c r="J32" i="99"/>
  <c r="I32" i="99"/>
  <c r="H32" i="99"/>
  <c r="G32" i="99"/>
  <c r="BI32" i="99" s="1"/>
  <c r="B32" i="99"/>
  <c r="K31" i="99"/>
  <c r="J31" i="99"/>
  <c r="I31" i="99"/>
  <c r="H31" i="99"/>
  <c r="G31" i="99"/>
  <c r="BI31" i="99" s="1"/>
  <c r="B31" i="99"/>
  <c r="K30" i="99"/>
  <c r="J30" i="99"/>
  <c r="I30" i="99"/>
  <c r="H30" i="99"/>
  <c r="G30" i="99"/>
  <c r="BI30" i="99" s="1"/>
  <c r="B30" i="99"/>
  <c r="K29" i="99"/>
  <c r="J29" i="99"/>
  <c r="I29" i="99"/>
  <c r="H29" i="99"/>
  <c r="G29" i="99"/>
  <c r="BI29" i="99" s="1"/>
  <c r="B29" i="99"/>
  <c r="K28" i="99"/>
  <c r="J28" i="99"/>
  <c r="I28" i="99"/>
  <c r="H28" i="99"/>
  <c r="G28" i="99"/>
  <c r="BI28" i="99" s="1"/>
  <c r="B28" i="99"/>
  <c r="K27" i="99"/>
  <c r="J27" i="99"/>
  <c r="I27" i="99"/>
  <c r="H27" i="99"/>
  <c r="G27" i="99"/>
  <c r="BI27" i="99" s="1"/>
  <c r="B27" i="99"/>
  <c r="K26" i="99"/>
  <c r="J26" i="99"/>
  <c r="I26" i="99"/>
  <c r="H26" i="99"/>
  <c r="G26" i="99"/>
  <c r="BI26" i="99" s="1"/>
  <c r="B26" i="99"/>
  <c r="K25" i="99"/>
  <c r="J25" i="99"/>
  <c r="I25" i="99"/>
  <c r="H25" i="99"/>
  <c r="G25" i="99"/>
  <c r="BI25" i="99" s="1"/>
  <c r="B25" i="99"/>
  <c r="K24" i="99"/>
  <c r="J24" i="99"/>
  <c r="I24" i="99"/>
  <c r="H24" i="99"/>
  <c r="G24" i="99"/>
  <c r="BI24" i="99" s="1"/>
  <c r="B24" i="99"/>
  <c r="K23" i="99"/>
  <c r="J23" i="99"/>
  <c r="I23" i="99"/>
  <c r="H23" i="99"/>
  <c r="G23" i="99"/>
  <c r="BI23" i="99" s="1"/>
  <c r="B23" i="99"/>
  <c r="K22" i="99"/>
  <c r="J22" i="99"/>
  <c r="I22" i="99"/>
  <c r="H22" i="99"/>
  <c r="G22" i="99"/>
  <c r="BI22" i="99" s="1"/>
  <c r="B22" i="99"/>
  <c r="K21" i="99"/>
  <c r="J21" i="99"/>
  <c r="I21" i="99"/>
  <c r="H21" i="99"/>
  <c r="G21" i="99"/>
  <c r="BI21" i="99" s="1"/>
  <c r="B21" i="99"/>
  <c r="K20" i="99"/>
  <c r="J20" i="99"/>
  <c r="I20" i="99"/>
  <c r="H20" i="99"/>
  <c r="G20" i="99"/>
  <c r="BI20" i="99" s="1"/>
  <c r="B20" i="99"/>
  <c r="K18" i="99"/>
  <c r="J18" i="99"/>
  <c r="I18" i="99"/>
  <c r="H18" i="99"/>
  <c r="G18" i="99"/>
  <c r="BI18" i="99" s="1"/>
  <c r="B18" i="99"/>
  <c r="K17" i="99"/>
  <c r="J17" i="99"/>
  <c r="I17" i="99"/>
  <c r="H17" i="99"/>
  <c r="G17" i="99"/>
  <c r="BI17" i="99" s="1"/>
  <c r="B17" i="99"/>
  <c r="K16" i="99"/>
  <c r="J16" i="99"/>
  <c r="I16" i="99"/>
  <c r="H16" i="99"/>
  <c r="G16" i="99"/>
  <c r="BI16" i="99" s="1"/>
  <c r="B16" i="99"/>
  <c r="K14" i="99"/>
  <c r="J14" i="99"/>
  <c r="I14" i="99"/>
  <c r="H14" i="99"/>
  <c r="G14" i="99"/>
  <c r="BI14" i="99" s="1"/>
  <c r="B14" i="99"/>
  <c r="K13" i="99"/>
  <c r="J13" i="99"/>
  <c r="I13" i="99"/>
  <c r="H13" i="99"/>
  <c r="G13" i="99"/>
  <c r="BI13" i="99" s="1"/>
  <c r="B13" i="99"/>
  <c r="Z12" i="99"/>
  <c r="K12" i="99"/>
  <c r="BM12" i="99" s="1"/>
  <c r="J12" i="99"/>
  <c r="I12" i="99"/>
  <c r="H12" i="99"/>
  <c r="G12" i="99"/>
  <c r="BI12" i="99" s="1"/>
  <c r="B12" i="99"/>
  <c r="D3" i="99"/>
  <c r="AJ1" i="99"/>
  <c r="AZ13" i="95"/>
  <c r="AZ14" i="95"/>
  <c r="AZ16" i="95"/>
  <c r="AZ17" i="95"/>
  <c r="AZ18" i="95"/>
  <c r="AZ19" i="95"/>
  <c r="AZ20" i="95"/>
  <c r="AZ21" i="95"/>
  <c r="AZ22" i="95"/>
  <c r="AZ23" i="95"/>
  <c r="AZ24" i="95"/>
  <c r="AZ25" i="95"/>
  <c r="AZ26" i="95"/>
  <c r="AZ27" i="95"/>
  <c r="AZ28" i="95"/>
  <c r="AZ29" i="95"/>
  <c r="AZ30" i="95"/>
  <c r="AZ31" i="95"/>
  <c r="AZ32" i="95"/>
  <c r="AZ33" i="95"/>
  <c r="AZ34" i="95"/>
  <c r="AZ35" i="95"/>
  <c r="AZ36" i="95"/>
  <c r="AZ37" i="95"/>
  <c r="AZ38" i="95"/>
  <c r="AZ39" i="95"/>
  <c r="AZ40" i="95"/>
  <c r="AZ41" i="95"/>
  <c r="AZ42" i="95"/>
  <c r="AZ43" i="95"/>
  <c r="AZ44" i="95"/>
  <c r="AZ45" i="95"/>
  <c r="AZ46" i="95"/>
  <c r="AZ47" i="95"/>
  <c r="AZ48" i="95"/>
  <c r="AZ49" i="95"/>
  <c r="AZ50" i="95"/>
  <c r="AZ51" i="95"/>
  <c r="AZ52" i="95"/>
  <c r="AZ53" i="95"/>
  <c r="AZ54" i="95"/>
  <c r="AZ55" i="95"/>
  <c r="AZ56" i="95"/>
  <c r="AZ57" i="95"/>
  <c r="AZ58" i="95"/>
  <c r="AZ59" i="95"/>
  <c r="AZ60" i="95"/>
  <c r="AZ61" i="95"/>
  <c r="AZ62" i="95"/>
  <c r="AZ63" i="95"/>
  <c r="AZ64" i="95"/>
  <c r="AZ65" i="95"/>
  <c r="AZ66" i="95"/>
  <c r="AZ67" i="95"/>
  <c r="AZ68" i="95"/>
  <c r="AZ69" i="95"/>
  <c r="AZ70" i="95"/>
  <c r="AZ71" i="95"/>
  <c r="AZ72" i="95"/>
  <c r="AZ73" i="95"/>
  <c r="AZ74" i="95"/>
  <c r="AZ75" i="95"/>
  <c r="AZ76" i="95"/>
  <c r="AZ77" i="95"/>
  <c r="AZ78" i="95"/>
  <c r="AZ79" i="95"/>
  <c r="AZ80" i="95"/>
  <c r="AZ81" i="95"/>
  <c r="AZ82" i="95"/>
  <c r="AZ83" i="95"/>
  <c r="AZ84" i="95"/>
  <c r="AZ85" i="95"/>
  <c r="AZ86" i="95"/>
  <c r="AZ87" i="95"/>
  <c r="AZ88" i="95"/>
  <c r="AZ89" i="95"/>
  <c r="AZ90" i="95"/>
  <c r="AZ91" i="95"/>
  <c r="AZ92" i="95"/>
  <c r="AZ93" i="95"/>
  <c r="AZ94" i="95"/>
  <c r="AZ95" i="95"/>
  <c r="AZ96" i="95"/>
  <c r="AZ97" i="95"/>
  <c r="AZ98" i="95"/>
  <c r="AZ99" i="95"/>
  <c r="AZ100" i="95"/>
  <c r="AZ101" i="95"/>
  <c r="AZ102" i="95"/>
  <c r="AZ103" i="95"/>
  <c r="AZ104" i="95"/>
  <c r="AZ105" i="95"/>
  <c r="AZ106" i="95"/>
  <c r="AZ107" i="95"/>
  <c r="AZ108" i="95"/>
  <c r="AZ109" i="95"/>
  <c r="AZ110" i="95"/>
  <c r="AZ111" i="95"/>
  <c r="AJ1" i="95"/>
  <c r="D3" i="95"/>
  <c r="AJ9" i="95" s="1"/>
  <c r="AD452" i="81"/>
  <c r="AC452" i="81"/>
  <c r="AC451" i="81"/>
  <c r="AC450" i="81"/>
  <c r="AC449" i="81"/>
  <c r="AC448" i="81"/>
  <c r="AC447" i="81"/>
  <c r="AC446" i="81"/>
  <c r="AC445" i="81"/>
  <c r="AC444" i="81"/>
  <c r="AC443" i="81"/>
  <c r="AC442" i="81"/>
  <c r="AC441" i="81"/>
  <c r="AC440" i="81"/>
  <c r="AC439" i="81"/>
  <c r="AC438" i="81"/>
  <c r="AC437" i="81"/>
  <c r="AC436" i="81"/>
  <c r="AC435" i="81"/>
  <c r="AC434" i="81"/>
  <c r="AC433" i="81"/>
  <c r="AC432" i="81"/>
  <c r="AC431" i="81"/>
  <c r="AC430" i="81"/>
  <c r="AC429" i="81"/>
  <c r="AC428" i="81"/>
  <c r="AC427" i="81"/>
  <c r="AC426" i="81"/>
  <c r="AC425" i="81"/>
  <c r="AC424" i="81"/>
  <c r="AC423" i="81"/>
  <c r="AC422" i="81"/>
  <c r="AC421" i="81"/>
  <c r="AC420" i="81"/>
  <c r="AC419" i="81"/>
  <c r="AC418" i="81"/>
  <c r="AC417" i="81"/>
  <c r="AC416" i="81"/>
  <c r="AC415" i="81"/>
  <c r="AC414" i="81"/>
  <c r="AC413" i="81"/>
  <c r="AC412" i="81"/>
  <c r="AC411" i="81"/>
  <c r="AC410" i="81"/>
  <c r="AC409" i="81"/>
  <c r="AC408" i="81"/>
  <c r="AC407" i="81"/>
  <c r="AC406" i="81"/>
  <c r="AC405" i="81"/>
  <c r="AC404" i="81"/>
  <c r="AC403" i="81"/>
  <c r="AC402" i="81"/>
  <c r="AC401" i="81"/>
  <c r="AC400" i="81"/>
  <c r="AC399" i="81"/>
  <c r="AC398" i="81"/>
  <c r="AC397" i="81"/>
  <c r="AC396" i="81"/>
  <c r="AC395" i="81"/>
  <c r="AC394" i="81"/>
  <c r="AC393" i="81"/>
  <c r="AC392" i="81"/>
  <c r="AC391" i="81"/>
  <c r="AC390" i="81"/>
  <c r="AC389" i="81"/>
  <c r="AC388" i="81"/>
  <c r="AC387" i="81"/>
  <c r="AC386" i="81"/>
  <c r="AC385" i="81"/>
  <c r="AC384" i="81"/>
  <c r="AC383" i="81"/>
  <c r="AC382" i="81"/>
  <c r="AC381" i="81"/>
  <c r="AC380" i="81"/>
  <c r="AC379" i="81"/>
  <c r="AC378" i="81"/>
  <c r="AC377" i="81"/>
  <c r="AC376" i="81"/>
  <c r="AC375" i="81"/>
  <c r="AC374" i="81"/>
  <c r="AC373" i="81"/>
  <c r="AC372" i="81"/>
  <c r="AC371" i="81"/>
  <c r="AC370" i="81"/>
  <c r="AC369" i="81"/>
  <c r="AC368" i="81"/>
  <c r="AC367" i="81"/>
  <c r="AC366" i="81"/>
  <c r="AC365" i="81"/>
  <c r="AC364" i="81"/>
  <c r="AC363" i="81"/>
  <c r="AC362" i="81"/>
  <c r="AC361" i="81"/>
  <c r="AC360" i="81"/>
  <c r="AC359" i="81"/>
  <c r="AC358" i="81"/>
  <c r="AC357" i="81"/>
  <c r="AC356" i="81"/>
  <c r="AC355" i="81"/>
  <c r="AC354" i="81"/>
  <c r="AC353" i="81"/>
  <c r="AC352" i="81"/>
  <c r="AC351" i="81"/>
  <c r="AC350" i="81"/>
  <c r="AC349" i="81"/>
  <c r="AC348" i="81"/>
  <c r="AC347" i="81"/>
  <c r="AC346" i="81"/>
  <c r="AC345" i="81"/>
  <c r="AC344" i="81"/>
  <c r="AC343" i="81"/>
  <c r="AC342" i="81"/>
  <c r="AC341" i="81"/>
  <c r="AC340" i="81"/>
  <c r="AC339" i="81"/>
  <c r="AC338" i="81"/>
  <c r="AC337" i="81"/>
  <c r="AC336" i="81"/>
  <c r="AC335" i="81"/>
  <c r="AC334" i="81"/>
  <c r="AC333" i="81"/>
  <c r="AC332" i="81"/>
  <c r="AC331" i="81"/>
  <c r="AC330" i="81"/>
  <c r="AC329" i="81"/>
  <c r="AC328" i="81"/>
  <c r="AC327" i="81"/>
  <c r="AC326" i="81"/>
  <c r="AC325" i="81"/>
  <c r="AC324" i="81"/>
  <c r="AC323" i="81"/>
  <c r="AC322" i="81"/>
  <c r="AC321" i="81"/>
  <c r="AC320" i="81"/>
  <c r="AC319" i="81"/>
  <c r="AC318" i="81"/>
  <c r="AC317" i="81"/>
  <c r="AC316" i="81"/>
  <c r="AC315" i="81"/>
  <c r="AC314" i="81"/>
  <c r="AC313" i="81"/>
  <c r="AC312" i="81"/>
  <c r="AC311" i="81"/>
  <c r="AC310" i="81"/>
  <c r="AC309" i="81"/>
  <c r="AC308" i="81"/>
  <c r="AC307" i="81"/>
  <c r="AC306" i="81"/>
  <c r="AC305" i="81"/>
  <c r="AC304" i="81"/>
  <c r="AC303" i="81"/>
  <c r="AC302" i="81"/>
  <c r="AC301" i="81"/>
  <c r="AC300" i="81"/>
  <c r="AC299" i="81"/>
  <c r="AC298" i="81"/>
  <c r="AC297" i="81"/>
  <c r="AC296" i="81"/>
  <c r="AC295" i="81"/>
  <c r="AC294" i="81"/>
  <c r="AC293" i="81"/>
  <c r="AC292" i="81"/>
  <c r="AC291" i="81"/>
  <c r="AC290" i="81"/>
  <c r="AC289" i="81"/>
  <c r="AC288" i="81"/>
  <c r="AC287" i="81"/>
  <c r="AC286" i="81"/>
  <c r="AC285" i="81"/>
  <c r="AC284" i="81"/>
  <c r="AC283" i="81"/>
  <c r="AC282" i="81"/>
  <c r="AC281" i="81"/>
  <c r="AC280" i="81"/>
  <c r="AC279" i="81"/>
  <c r="AC278" i="81"/>
  <c r="AC277" i="81"/>
  <c r="AC276" i="81"/>
  <c r="AC275" i="81"/>
  <c r="AC274" i="81"/>
  <c r="AC273" i="81"/>
  <c r="AC272" i="81"/>
  <c r="AC271" i="81"/>
  <c r="AC270" i="81"/>
  <c r="AC269" i="81"/>
  <c r="AC268" i="81"/>
  <c r="AC267" i="81"/>
  <c r="AC266" i="81"/>
  <c r="AC265" i="81"/>
  <c r="AC264" i="81"/>
  <c r="AC263" i="81"/>
  <c r="AC262" i="81"/>
  <c r="AC261" i="81"/>
  <c r="AC260" i="81"/>
  <c r="AC259" i="81"/>
  <c r="AC258" i="81"/>
  <c r="AC257" i="81"/>
  <c r="AC256" i="81"/>
  <c r="AC255" i="81"/>
  <c r="AC254" i="81"/>
  <c r="AC253" i="81"/>
  <c r="AC252" i="81"/>
  <c r="AC251" i="81"/>
  <c r="AC250" i="81"/>
  <c r="AC249" i="81"/>
  <c r="AC248" i="81"/>
  <c r="AC247" i="81"/>
  <c r="AC246" i="81"/>
  <c r="AC245" i="81"/>
  <c r="AC244" i="81"/>
  <c r="AC243" i="81"/>
  <c r="AC242" i="81"/>
  <c r="AC241" i="81"/>
  <c r="AC240" i="81"/>
  <c r="AC239" i="81"/>
  <c r="AC238" i="81"/>
  <c r="AC237" i="81"/>
  <c r="AC236" i="81"/>
  <c r="AC235" i="81"/>
  <c r="AC234" i="81"/>
  <c r="AC233" i="81"/>
  <c r="AC232" i="81"/>
  <c r="AC231" i="81"/>
  <c r="AC230" i="81"/>
  <c r="AC229" i="81"/>
  <c r="AC228" i="81"/>
  <c r="AC227" i="81"/>
  <c r="AC226" i="81"/>
  <c r="AC225" i="81"/>
  <c r="AC224" i="81"/>
  <c r="AC223" i="81"/>
  <c r="AC222" i="81"/>
  <c r="AC221" i="81"/>
  <c r="AC220" i="81"/>
  <c r="AC219" i="81"/>
  <c r="AC218" i="81"/>
  <c r="AC217" i="81"/>
  <c r="AC216" i="81"/>
  <c r="AC215" i="81"/>
  <c r="AC214" i="81"/>
  <c r="AC213" i="81"/>
  <c r="AC212" i="81"/>
  <c r="AC211" i="81"/>
  <c r="AC210" i="81"/>
  <c r="AC209" i="81"/>
  <c r="AC208" i="81"/>
  <c r="AC207" i="81"/>
  <c r="AC206" i="81"/>
  <c r="AC205" i="81"/>
  <c r="AC204" i="81"/>
  <c r="AC203" i="81"/>
  <c r="AC202" i="81"/>
  <c r="AC201" i="81"/>
  <c r="AC200" i="81"/>
  <c r="AC199" i="81"/>
  <c r="AC198" i="81"/>
  <c r="AC197" i="81"/>
  <c r="AC196" i="81"/>
  <c r="AC195" i="81"/>
  <c r="AC194" i="81"/>
  <c r="AC193" i="81"/>
  <c r="AC192" i="81"/>
  <c r="AC191" i="81"/>
  <c r="AC190" i="81"/>
  <c r="AC189" i="81"/>
  <c r="AC188" i="81"/>
  <c r="AC187" i="81"/>
  <c r="AC186" i="81"/>
  <c r="AC185" i="81"/>
  <c r="AC184" i="81"/>
  <c r="AC183" i="81"/>
  <c r="AC182" i="81"/>
  <c r="AC181" i="81"/>
  <c r="AC180" i="81"/>
  <c r="AC179" i="81"/>
  <c r="AC178" i="81"/>
  <c r="AC177" i="81"/>
  <c r="AC176" i="81"/>
  <c r="AC175" i="81"/>
  <c r="AC174" i="81"/>
  <c r="AC173" i="81"/>
  <c r="AC172" i="81"/>
  <c r="AC171" i="81"/>
  <c r="AC170" i="81"/>
  <c r="AC169" i="81"/>
  <c r="AC168" i="81"/>
  <c r="AC167" i="81"/>
  <c r="AC166" i="81"/>
  <c r="AC165" i="81"/>
  <c r="AC164" i="81"/>
  <c r="AC163" i="81"/>
  <c r="AC162" i="81"/>
  <c r="AC161" i="81"/>
  <c r="AC160" i="81"/>
  <c r="AC159" i="81"/>
  <c r="AC158" i="81"/>
  <c r="AC157" i="81"/>
  <c r="AC156" i="81"/>
  <c r="AC155" i="81"/>
  <c r="AC154" i="81"/>
  <c r="AC153" i="81"/>
  <c r="AC152" i="81"/>
  <c r="AC151" i="81"/>
  <c r="AC150" i="81"/>
  <c r="AC149" i="81"/>
  <c r="AC148" i="81"/>
  <c r="AC147" i="81"/>
  <c r="AC146" i="81"/>
  <c r="AC145" i="81"/>
  <c r="AC144" i="81"/>
  <c r="AC143" i="81"/>
  <c r="AC142" i="81"/>
  <c r="AC141" i="81"/>
  <c r="AC140" i="81"/>
  <c r="AC139" i="81"/>
  <c r="AC138" i="81"/>
  <c r="AC137" i="81"/>
  <c r="AC136" i="81"/>
  <c r="AC135" i="81"/>
  <c r="AC134" i="81"/>
  <c r="AC133" i="81"/>
  <c r="AC132" i="81"/>
  <c r="AC131" i="81"/>
  <c r="AC130" i="81"/>
  <c r="AC129" i="81"/>
  <c r="AC128" i="81"/>
  <c r="AC127" i="81"/>
  <c r="AC126" i="81"/>
  <c r="AC125" i="81"/>
  <c r="AC124" i="81"/>
  <c r="AC123" i="81"/>
  <c r="AC122" i="81"/>
  <c r="AC121" i="81"/>
  <c r="AC120" i="81"/>
  <c r="AC119" i="81"/>
  <c r="AC118" i="81"/>
  <c r="AC117" i="81"/>
  <c r="AC116" i="81"/>
  <c r="AC115" i="81"/>
  <c r="AC114" i="81"/>
  <c r="AC113" i="81"/>
  <c r="AC112" i="81"/>
  <c r="AC111" i="81"/>
  <c r="AC110" i="81"/>
  <c r="AC109" i="81"/>
  <c r="AC108" i="81"/>
  <c r="AC107" i="81"/>
  <c r="AC106" i="81"/>
  <c r="AC105" i="81"/>
  <c r="AC104" i="81"/>
  <c r="AC103" i="81"/>
  <c r="AC102" i="81"/>
  <c r="AC101" i="81"/>
  <c r="AC100" i="81"/>
  <c r="AC99" i="81"/>
  <c r="AC98" i="81"/>
  <c r="AC97" i="81"/>
  <c r="AC96" i="81"/>
  <c r="AC95" i="81"/>
  <c r="AC94" i="81"/>
  <c r="AC93" i="81"/>
  <c r="AC92" i="81"/>
  <c r="AC91" i="81"/>
  <c r="AC90" i="81"/>
  <c r="AC89" i="81"/>
  <c r="AC88" i="81"/>
  <c r="AC87" i="81"/>
  <c r="AC86" i="81"/>
  <c r="AC85" i="81"/>
  <c r="AC84" i="81"/>
  <c r="AC83" i="81"/>
  <c r="AC82" i="81"/>
  <c r="AC81" i="81"/>
  <c r="AC80" i="81"/>
  <c r="AC79" i="81"/>
  <c r="AC78" i="81"/>
  <c r="AC77" i="81"/>
  <c r="AC76" i="81"/>
  <c r="AC75" i="81"/>
  <c r="AC74" i="81"/>
  <c r="AC73" i="81"/>
  <c r="AC72" i="81"/>
  <c r="AC71" i="81"/>
  <c r="AC70" i="81"/>
  <c r="AC69" i="81"/>
  <c r="AC68" i="81"/>
  <c r="AC67" i="81"/>
  <c r="AC66" i="81"/>
  <c r="AC65" i="81"/>
  <c r="AC64" i="81"/>
  <c r="AC63" i="81"/>
  <c r="AC62" i="81"/>
  <c r="AC61" i="81"/>
  <c r="AC60" i="81"/>
  <c r="AC59" i="81"/>
  <c r="AC58" i="81"/>
  <c r="AC57" i="81"/>
  <c r="AC56" i="81"/>
  <c r="AC55" i="81"/>
  <c r="AI9" i="99" l="1"/>
  <c r="BM16" i="99"/>
  <c r="O16" i="99"/>
  <c r="BM21" i="99"/>
  <c r="O21" i="99"/>
  <c r="BM25" i="99"/>
  <c r="O25" i="99"/>
  <c r="BM29" i="99"/>
  <c r="O29" i="99"/>
  <c r="BM33" i="99"/>
  <c r="O33" i="99"/>
  <c r="BM37" i="99"/>
  <c r="O37" i="99"/>
  <c r="BM41" i="99"/>
  <c r="O41" i="99"/>
  <c r="AY45" i="99"/>
  <c r="BM45" i="99"/>
  <c r="O45" i="99"/>
  <c r="BM49" i="99"/>
  <c r="O49" i="99"/>
  <c r="BM53" i="99"/>
  <c r="O53" i="99"/>
  <c r="BM57" i="99"/>
  <c r="O57" i="99"/>
  <c r="BM61" i="99"/>
  <c r="O61" i="99"/>
  <c r="BM65" i="99"/>
  <c r="O65" i="99"/>
  <c r="BM69" i="99"/>
  <c r="O69" i="99"/>
  <c r="BM73" i="99"/>
  <c r="O73" i="99"/>
  <c r="BM77" i="99"/>
  <c r="O77" i="99"/>
  <c r="BM81" i="99"/>
  <c r="O81" i="99"/>
  <c r="BM85" i="99"/>
  <c r="O85" i="99"/>
  <c r="BM89" i="99"/>
  <c r="O89" i="99"/>
  <c r="BM93" i="99"/>
  <c r="O93" i="99"/>
  <c r="BM97" i="99"/>
  <c r="O97" i="99"/>
  <c r="BM101" i="99"/>
  <c r="O101" i="99"/>
  <c r="BM105" i="99"/>
  <c r="O105" i="99"/>
  <c r="BM109" i="99"/>
  <c r="O109" i="99"/>
  <c r="BM14" i="99"/>
  <c r="O14" i="99"/>
  <c r="O20" i="99"/>
  <c r="BM20" i="99"/>
  <c r="BM24" i="99"/>
  <c r="O24" i="99"/>
  <c r="O28" i="99"/>
  <c r="BM28" i="99"/>
  <c r="BM32" i="99"/>
  <c r="O32" i="99"/>
  <c r="O36" i="99"/>
  <c r="BM36" i="99"/>
  <c r="BM40" i="99"/>
  <c r="O40" i="99"/>
  <c r="O44" i="99"/>
  <c r="BM44" i="99"/>
  <c r="BM48" i="99"/>
  <c r="O48" i="99"/>
  <c r="O52" i="99"/>
  <c r="BM52" i="99"/>
  <c r="BM56" i="99"/>
  <c r="O56" i="99"/>
  <c r="O60" i="99"/>
  <c r="BM60" i="99"/>
  <c r="BM64" i="99"/>
  <c r="O64" i="99"/>
  <c r="O68" i="99"/>
  <c r="BM68" i="99"/>
  <c r="BM72" i="99"/>
  <c r="O72" i="99"/>
  <c r="O76" i="99"/>
  <c r="BM76" i="99"/>
  <c r="BM80" i="99"/>
  <c r="O80" i="99"/>
  <c r="O84" i="99"/>
  <c r="BM84" i="99"/>
  <c r="BM88" i="99"/>
  <c r="O88" i="99"/>
  <c r="O92" i="99"/>
  <c r="BM92" i="99"/>
  <c r="BM96" i="99"/>
  <c r="O96" i="99"/>
  <c r="O100" i="99"/>
  <c r="BM100" i="99"/>
  <c r="BM104" i="99"/>
  <c r="O104" i="99"/>
  <c r="O108" i="99"/>
  <c r="BM108" i="99"/>
  <c r="BM13" i="99"/>
  <c r="O13" i="99"/>
  <c r="O18" i="99"/>
  <c r="BM18" i="99"/>
  <c r="BM23" i="99"/>
  <c r="O23" i="99"/>
  <c r="O27" i="99"/>
  <c r="BM27" i="99"/>
  <c r="BM31" i="99"/>
  <c r="O31" i="99"/>
  <c r="O35" i="99"/>
  <c r="BM35" i="99"/>
  <c r="BM39" i="99"/>
  <c r="O39" i="99"/>
  <c r="O43" i="99"/>
  <c r="BM43" i="99"/>
  <c r="BM47" i="99"/>
  <c r="O47" i="99"/>
  <c r="O51" i="99"/>
  <c r="BM51" i="99"/>
  <c r="BM55" i="99"/>
  <c r="O55" i="99"/>
  <c r="O59" i="99"/>
  <c r="BM59" i="99"/>
  <c r="BM63" i="99"/>
  <c r="O63" i="99"/>
  <c r="O67" i="99"/>
  <c r="BM67" i="99"/>
  <c r="BM71" i="99"/>
  <c r="O71" i="99"/>
  <c r="O75" i="99"/>
  <c r="BM75" i="99"/>
  <c r="BM79" i="99"/>
  <c r="O79" i="99"/>
  <c r="O83" i="99"/>
  <c r="BM83" i="99"/>
  <c r="BM87" i="99"/>
  <c r="O87" i="99"/>
  <c r="O91" i="99"/>
  <c r="BM91" i="99"/>
  <c r="BM95" i="99"/>
  <c r="O95" i="99"/>
  <c r="O99" i="99"/>
  <c r="BM99" i="99"/>
  <c r="BM103" i="99"/>
  <c r="O103" i="99"/>
  <c r="O107" i="99"/>
  <c r="BM107" i="99"/>
  <c r="BM111" i="99"/>
  <c r="O111" i="99"/>
  <c r="BM17" i="99"/>
  <c r="O17" i="99"/>
  <c r="BM22" i="99"/>
  <c r="O22" i="99"/>
  <c r="O26" i="99"/>
  <c r="BM26" i="99"/>
  <c r="BM30" i="99"/>
  <c r="O30" i="99"/>
  <c r="O34" i="99"/>
  <c r="BM34" i="99"/>
  <c r="BM38" i="99"/>
  <c r="O38" i="99"/>
  <c r="O42" i="99"/>
  <c r="BM42" i="99"/>
  <c r="BM46" i="99"/>
  <c r="O46" i="99"/>
  <c r="O50" i="99"/>
  <c r="BM50" i="99"/>
  <c r="BM54" i="99"/>
  <c r="O54" i="99"/>
  <c r="O58" i="99"/>
  <c r="BM58" i="99"/>
  <c r="BM62" i="99"/>
  <c r="O62" i="99"/>
  <c r="O66" i="99"/>
  <c r="BM66" i="99"/>
  <c r="BM70" i="99"/>
  <c r="O70" i="99"/>
  <c r="O74" i="99"/>
  <c r="BM74" i="99"/>
  <c r="BM78" i="99"/>
  <c r="O78" i="99"/>
  <c r="O82" i="99"/>
  <c r="BM82" i="99"/>
  <c r="BM86" i="99"/>
  <c r="O86" i="99"/>
  <c r="O90" i="99"/>
  <c r="BM90" i="99"/>
  <c r="BM94" i="99"/>
  <c r="O94" i="99"/>
  <c r="O98" i="99"/>
  <c r="BM98" i="99"/>
  <c r="BM102" i="99"/>
  <c r="O102" i="99"/>
  <c r="O106" i="99"/>
  <c r="BM106" i="99"/>
  <c r="BM110" i="99"/>
  <c r="O110" i="99"/>
  <c r="AY46" i="99"/>
  <c r="BB46" i="99"/>
  <c r="AF9" i="99"/>
  <c r="AF9" i="95"/>
  <c r="AN13" i="99"/>
  <c r="AI9" i="95"/>
  <c r="M71" i="99"/>
  <c r="M71" i="95"/>
  <c r="M110" i="99"/>
  <c r="M110" i="95"/>
  <c r="M102" i="99"/>
  <c r="M102" i="95"/>
  <c r="M94" i="99"/>
  <c r="M94" i="95"/>
  <c r="M86" i="99"/>
  <c r="M86" i="95"/>
  <c r="M78" i="99"/>
  <c r="M78" i="95"/>
  <c r="M70" i="99"/>
  <c r="M70" i="95"/>
  <c r="M62" i="99"/>
  <c r="M62" i="95"/>
  <c r="M54" i="99"/>
  <c r="M54" i="95"/>
  <c r="M109" i="99"/>
  <c r="M109" i="95"/>
  <c r="M101" i="99"/>
  <c r="M101" i="95"/>
  <c r="M93" i="99"/>
  <c r="M93" i="95"/>
  <c r="M85" i="99"/>
  <c r="M85" i="95"/>
  <c r="M77" i="99"/>
  <c r="M77" i="95"/>
  <c r="M69" i="99"/>
  <c r="M69" i="95"/>
  <c r="M61" i="99"/>
  <c r="M61" i="95"/>
  <c r="M103" i="99"/>
  <c r="M103" i="95"/>
  <c r="M87" i="99"/>
  <c r="M87" i="95"/>
  <c r="M108" i="99"/>
  <c r="M108" i="95"/>
  <c r="M100" i="99"/>
  <c r="M100" i="95"/>
  <c r="M92" i="99"/>
  <c r="M92" i="95"/>
  <c r="M84" i="99"/>
  <c r="M84" i="95"/>
  <c r="M76" i="99"/>
  <c r="M76" i="95"/>
  <c r="M68" i="99"/>
  <c r="M68" i="95"/>
  <c r="M63" i="99"/>
  <c r="M63" i="95"/>
  <c r="M107" i="99"/>
  <c r="M107" i="95"/>
  <c r="M99" i="99"/>
  <c r="M99" i="95"/>
  <c r="M91" i="99"/>
  <c r="M91" i="95"/>
  <c r="M83" i="99"/>
  <c r="M83" i="95"/>
  <c r="M75" i="99"/>
  <c r="M75" i="95"/>
  <c r="M67" i="99"/>
  <c r="M67" i="95"/>
  <c r="M106" i="99"/>
  <c r="M106" i="95"/>
  <c r="M98" i="99"/>
  <c r="M98" i="95"/>
  <c r="M90" i="99"/>
  <c r="M90" i="95"/>
  <c r="M82" i="99"/>
  <c r="M82" i="95"/>
  <c r="M74" i="99"/>
  <c r="M74" i="95"/>
  <c r="M66" i="99"/>
  <c r="M66" i="95"/>
  <c r="M111" i="99"/>
  <c r="M111" i="95"/>
  <c r="M105" i="99"/>
  <c r="M105" i="95"/>
  <c r="M97" i="99"/>
  <c r="M97" i="95"/>
  <c r="M89" i="99"/>
  <c r="M89" i="95"/>
  <c r="M81" i="99"/>
  <c r="M81" i="95"/>
  <c r="M73" i="99"/>
  <c r="M73" i="95"/>
  <c r="M65" i="99"/>
  <c r="M65" i="95"/>
  <c r="M95" i="99"/>
  <c r="M95" i="95"/>
  <c r="M79" i="99"/>
  <c r="M79" i="95"/>
  <c r="M104" i="99"/>
  <c r="M104" i="95"/>
  <c r="M96" i="99"/>
  <c r="M96" i="95"/>
  <c r="M88" i="99"/>
  <c r="M88" i="95"/>
  <c r="M80" i="99"/>
  <c r="M80" i="95"/>
  <c r="M72" i="99"/>
  <c r="M72" i="95"/>
  <c r="M64" i="99"/>
  <c r="M64" i="95"/>
  <c r="AY12" i="99"/>
  <c r="AY21" i="99"/>
  <c r="BB21" i="99"/>
  <c r="AY29" i="99"/>
  <c r="BB29" i="99"/>
  <c r="AY37" i="99"/>
  <c r="BB37" i="99"/>
  <c r="BB45" i="99"/>
  <c r="AY53" i="99"/>
  <c r="BB53" i="99"/>
  <c r="AY61" i="99"/>
  <c r="BB61" i="99"/>
  <c r="AY69" i="99"/>
  <c r="BB69" i="99"/>
  <c r="AO77" i="99"/>
  <c r="AY77" i="99"/>
  <c r="BB77" i="99"/>
  <c r="AY85" i="99"/>
  <c r="BB85" i="99"/>
  <c r="AN93" i="99"/>
  <c r="BC93" i="99" s="1"/>
  <c r="AY93" i="99"/>
  <c r="BB93" i="99"/>
  <c r="AN101" i="99"/>
  <c r="BC101" i="99" s="1"/>
  <c r="AY101" i="99"/>
  <c r="BB101" i="99"/>
  <c r="AY109" i="99"/>
  <c r="BB109" i="99"/>
  <c r="AY13" i="99"/>
  <c r="BB30" i="99"/>
  <c r="AY30" i="99"/>
  <c r="BB70" i="99"/>
  <c r="AY70" i="99"/>
  <c r="BB102" i="99"/>
  <c r="AY102" i="99"/>
  <c r="BB110" i="99"/>
  <c r="AY110" i="99"/>
  <c r="AY20" i="99"/>
  <c r="BB20" i="99"/>
  <c r="AY28" i="99"/>
  <c r="BB28" i="99"/>
  <c r="AY36" i="99"/>
  <c r="BB36" i="99"/>
  <c r="AY44" i="99"/>
  <c r="BB44" i="99"/>
  <c r="BB52" i="99"/>
  <c r="AY52" i="99"/>
  <c r="AY60" i="99"/>
  <c r="BB68" i="99"/>
  <c r="AY68" i="99"/>
  <c r="AY76" i="99"/>
  <c r="BB76" i="99"/>
  <c r="BB84" i="99"/>
  <c r="AY84" i="99"/>
  <c r="BB92" i="99"/>
  <c r="AY92" i="99"/>
  <c r="BB100" i="99"/>
  <c r="AY100" i="99"/>
  <c r="AY108" i="99"/>
  <c r="BB108" i="99"/>
  <c r="BB22" i="99"/>
  <c r="AY22" i="99"/>
  <c r="AO38" i="99"/>
  <c r="BB38" i="99"/>
  <c r="AY38" i="99"/>
  <c r="AY54" i="99"/>
  <c r="AY19" i="99"/>
  <c r="BB19" i="99"/>
  <c r="AY35" i="99"/>
  <c r="BB35" i="99"/>
  <c r="AY43" i="99"/>
  <c r="BB43" i="99"/>
  <c r="AY51" i="99"/>
  <c r="BB51" i="99"/>
  <c r="AN59" i="99"/>
  <c r="BC59" i="99" s="1"/>
  <c r="AY59" i="99"/>
  <c r="AY67" i="99"/>
  <c r="BB67" i="99"/>
  <c r="AY75" i="99"/>
  <c r="BB75" i="99"/>
  <c r="AY83" i="99"/>
  <c r="BB83" i="99"/>
  <c r="AY91" i="99"/>
  <c r="BB91" i="99"/>
  <c r="AY99" i="99"/>
  <c r="BB99" i="99"/>
  <c r="AY107" i="99"/>
  <c r="BB107" i="99"/>
  <c r="BB94" i="99"/>
  <c r="AY94" i="99"/>
  <c r="AY18" i="99"/>
  <c r="BB18" i="99"/>
  <c r="AY26" i="99"/>
  <c r="BB26" i="99"/>
  <c r="AY34" i="99"/>
  <c r="BB34" i="99"/>
  <c r="AY42" i="99"/>
  <c r="BB42" i="99"/>
  <c r="AY50" i="99"/>
  <c r="BB50" i="99"/>
  <c r="AY58" i="99"/>
  <c r="BB58" i="99"/>
  <c r="AY66" i="99"/>
  <c r="BB66" i="99"/>
  <c r="AY74" i="99"/>
  <c r="BB74" i="99"/>
  <c r="AY82" i="99"/>
  <c r="BB82" i="99"/>
  <c r="AO90" i="99"/>
  <c r="AY90" i="99"/>
  <c r="BB90" i="99"/>
  <c r="AO98" i="99"/>
  <c r="AY98" i="99"/>
  <c r="BB98" i="99"/>
  <c r="AN106" i="99"/>
  <c r="BC106" i="99" s="1"/>
  <c r="AY106" i="99"/>
  <c r="BB106" i="99"/>
  <c r="BB62" i="99"/>
  <c r="AY62" i="99"/>
  <c r="BB86" i="99"/>
  <c r="AY86" i="99"/>
  <c r="AY17" i="99"/>
  <c r="BB25" i="99"/>
  <c r="AY25" i="99"/>
  <c r="BB33" i="99"/>
  <c r="AY33" i="99"/>
  <c r="BB41" i="99"/>
  <c r="AY41" i="99"/>
  <c r="BB49" i="99"/>
  <c r="AY49" i="99"/>
  <c r="AY57" i="99"/>
  <c r="BB65" i="99"/>
  <c r="AY65" i="99"/>
  <c r="BB73" i="99"/>
  <c r="AY73" i="99"/>
  <c r="BB81" i="99"/>
  <c r="AY81" i="99"/>
  <c r="BB89" i="99"/>
  <c r="AY89" i="99"/>
  <c r="BB97" i="99"/>
  <c r="AY97" i="99"/>
  <c r="BB105" i="99"/>
  <c r="AY105" i="99"/>
  <c r="AY27" i="99"/>
  <c r="BB27" i="99"/>
  <c r="AY16" i="99"/>
  <c r="BB24" i="99"/>
  <c r="AY24" i="99"/>
  <c r="BB32" i="99"/>
  <c r="AY32" i="99"/>
  <c r="BB40" i="99"/>
  <c r="AY40" i="99"/>
  <c r="BB48" i="99"/>
  <c r="AY48" i="99"/>
  <c r="AO56" i="99"/>
  <c r="AY56" i="99"/>
  <c r="BB64" i="99"/>
  <c r="AY64" i="99"/>
  <c r="BB72" i="99"/>
  <c r="AY72" i="99"/>
  <c r="AN80" i="99"/>
  <c r="BC80" i="99" s="1"/>
  <c r="BB80" i="99"/>
  <c r="AY80" i="99"/>
  <c r="BB88" i="99"/>
  <c r="AY88" i="99"/>
  <c r="BB96" i="99"/>
  <c r="AY96" i="99"/>
  <c r="BB104" i="99"/>
  <c r="AY104" i="99"/>
  <c r="BB78" i="99"/>
  <c r="AY78" i="99"/>
  <c r="BB14" i="99"/>
  <c r="AY14" i="99"/>
  <c r="AO23" i="99"/>
  <c r="BB23" i="99"/>
  <c r="AY23" i="99"/>
  <c r="BB31" i="99"/>
  <c r="AY31" i="99"/>
  <c r="BB39" i="99"/>
  <c r="AY39" i="99"/>
  <c r="BB47" i="99"/>
  <c r="AY47" i="99"/>
  <c r="AY55" i="99"/>
  <c r="BB63" i="99"/>
  <c r="AY63" i="99"/>
  <c r="BB71" i="99"/>
  <c r="AY71" i="99"/>
  <c r="BB79" i="99"/>
  <c r="AY79" i="99"/>
  <c r="BB87" i="99"/>
  <c r="AY87" i="99"/>
  <c r="BB95" i="99"/>
  <c r="AY95" i="99"/>
  <c r="BB103" i="99"/>
  <c r="AY103" i="99"/>
  <c r="AN111" i="99"/>
  <c r="BC111" i="99" s="1"/>
  <c r="BB111" i="99"/>
  <c r="AY111" i="99"/>
  <c r="AE9" i="99"/>
  <c r="AN12" i="99"/>
  <c r="AO12" i="99"/>
  <c r="AO111" i="99"/>
  <c r="AN110" i="99"/>
  <c r="BC110" i="99" s="1"/>
  <c r="AO110" i="99"/>
  <c r="AN109" i="99"/>
  <c r="BC109" i="99" s="1"/>
  <c r="AO109" i="99"/>
  <c r="AN108" i="99"/>
  <c r="BC108" i="99" s="1"/>
  <c r="AO108" i="99"/>
  <c r="AO13" i="99"/>
  <c r="AN14" i="99"/>
  <c r="BC14" i="99" s="1"/>
  <c r="AO14" i="99"/>
  <c r="AN16" i="99"/>
  <c r="BC16" i="99" s="1"/>
  <c r="AO16" i="99"/>
  <c r="AN17" i="99"/>
  <c r="BC17" i="99" s="1"/>
  <c r="AO17" i="99"/>
  <c r="AN18" i="99"/>
  <c r="BC18" i="99" s="1"/>
  <c r="AN19" i="99"/>
  <c r="BC19" i="99" s="1"/>
  <c r="AO19" i="99"/>
  <c r="AN20" i="99"/>
  <c r="BC20" i="99" s="1"/>
  <c r="AO20" i="99"/>
  <c r="AO21" i="99"/>
  <c r="AN22" i="99"/>
  <c r="BC22" i="99" s="1"/>
  <c r="AO22" i="99"/>
  <c r="AN23" i="99"/>
  <c r="BC23" i="99" s="1"/>
  <c r="AN24" i="99"/>
  <c r="BC24" i="99" s="1"/>
  <c r="AO24" i="99"/>
  <c r="AN25" i="99"/>
  <c r="BC25" i="99" s="1"/>
  <c r="AO25" i="99"/>
  <c r="AN26" i="99"/>
  <c r="BC26" i="99" s="1"/>
  <c r="AO26" i="99"/>
  <c r="AN27" i="99"/>
  <c r="BC27" i="99" s="1"/>
  <c r="AO27" i="99"/>
  <c r="AN28" i="99"/>
  <c r="BC28" i="99" s="1"/>
  <c r="AO28" i="99"/>
  <c r="AN29" i="99"/>
  <c r="BC29" i="99" s="1"/>
  <c r="AO29" i="99"/>
  <c r="AN30" i="99"/>
  <c r="BC30" i="99" s="1"/>
  <c r="AN31" i="99"/>
  <c r="BC31" i="99" s="1"/>
  <c r="AO31" i="99"/>
  <c r="AN32" i="99"/>
  <c r="BC32" i="99" s="1"/>
  <c r="AO32" i="99"/>
  <c r="AO33" i="99"/>
  <c r="AN34" i="99"/>
  <c r="BC34" i="99" s="1"/>
  <c r="AO34" i="99"/>
  <c r="AN35" i="99"/>
  <c r="BC35" i="99" s="1"/>
  <c r="AO35" i="99"/>
  <c r="AN36" i="99"/>
  <c r="BC36" i="99" s="1"/>
  <c r="AO36" i="99"/>
  <c r="AN37" i="99"/>
  <c r="BC37" i="99" s="1"/>
  <c r="AO37" i="99"/>
  <c r="AN38" i="99"/>
  <c r="BC38" i="99" s="1"/>
  <c r="AN39" i="99"/>
  <c r="BC39" i="99" s="1"/>
  <c r="AO39" i="99"/>
  <c r="AN40" i="99"/>
  <c r="BC40" i="99" s="1"/>
  <c r="AO40" i="99"/>
  <c r="AN41" i="99"/>
  <c r="BC41" i="99" s="1"/>
  <c r="AO41" i="99"/>
  <c r="AN42" i="99"/>
  <c r="BC42" i="99" s="1"/>
  <c r="AO42" i="99"/>
  <c r="AN43" i="99"/>
  <c r="BC43" i="99" s="1"/>
  <c r="AN44" i="99"/>
  <c r="BC44" i="99" s="1"/>
  <c r="AO44" i="99"/>
  <c r="AN45" i="99"/>
  <c r="BC45" i="99" s="1"/>
  <c r="AO45" i="99"/>
  <c r="AN46" i="99"/>
  <c r="BC46" i="99" s="1"/>
  <c r="AO46" i="99"/>
  <c r="AN47" i="99"/>
  <c r="BC47" i="99" s="1"/>
  <c r="AO47" i="99"/>
  <c r="AN48" i="99"/>
  <c r="BC48" i="99" s="1"/>
  <c r="AN49" i="99"/>
  <c r="BC49" i="99" s="1"/>
  <c r="AO49" i="99"/>
  <c r="AN50" i="99"/>
  <c r="BC50" i="99" s="1"/>
  <c r="AO50" i="99"/>
  <c r="AO51" i="99"/>
  <c r="AN52" i="99"/>
  <c r="BC52" i="99" s="1"/>
  <c r="AO52" i="99"/>
  <c r="AN53" i="99"/>
  <c r="BC53" i="99" s="1"/>
  <c r="AO53" i="99"/>
  <c r="AN54" i="99"/>
  <c r="BC54" i="99" s="1"/>
  <c r="AO54" i="99"/>
  <c r="AN55" i="99"/>
  <c r="BC55" i="99" s="1"/>
  <c r="AO55" i="99"/>
  <c r="AN56" i="99"/>
  <c r="BC56" i="99" s="1"/>
  <c r="AN57" i="99"/>
  <c r="BC57" i="99" s="1"/>
  <c r="AO57" i="99"/>
  <c r="AN58" i="99"/>
  <c r="BC58" i="99" s="1"/>
  <c r="AO58" i="99"/>
  <c r="AO59" i="99"/>
  <c r="AN60" i="99"/>
  <c r="BC60" i="99" s="1"/>
  <c r="AO60" i="99"/>
  <c r="AN61" i="99"/>
  <c r="BC61" i="99" s="1"/>
  <c r="AO61" i="99"/>
  <c r="AN62" i="99"/>
  <c r="BC62" i="99" s="1"/>
  <c r="AO62" i="99"/>
  <c r="AN63" i="99"/>
  <c r="BC63" i="99" s="1"/>
  <c r="AO63" i="99"/>
  <c r="AO64" i="99"/>
  <c r="AN65" i="99"/>
  <c r="BC65" i="99" s="1"/>
  <c r="AO65" i="99"/>
  <c r="AN66" i="99"/>
  <c r="BC66" i="99" s="1"/>
  <c r="AO66" i="99"/>
  <c r="AN67" i="99"/>
  <c r="BC67" i="99" s="1"/>
  <c r="AO67" i="99"/>
  <c r="AN68" i="99"/>
  <c r="BC68" i="99" s="1"/>
  <c r="AO68" i="99"/>
  <c r="AN69" i="99"/>
  <c r="BC69" i="99" s="1"/>
  <c r="AN70" i="99"/>
  <c r="BC70" i="99" s="1"/>
  <c r="AO70" i="99"/>
  <c r="AN71" i="99"/>
  <c r="BC71" i="99" s="1"/>
  <c r="AO71" i="99"/>
  <c r="AO72" i="99"/>
  <c r="AN73" i="99"/>
  <c r="BC73" i="99" s="1"/>
  <c r="AO73" i="99"/>
  <c r="AN74" i="99"/>
  <c r="BC74" i="99" s="1"/>
  <c r="AO74" i="99"/>
  <c r="AN75" i="99"/>
  <c r="BC75" i="99" s="1"/>
  <c r="AO75" i="99"/>
  <c r="AN76" i="99"/>
  <c r="BC76" i="99" s="1"/>
  <c r="AO76" i="99"/>
  <c r="AN77" i="99"/>
  <c r="BC77" i="99" s="1"/>
  <c r="AN78" i="99"/>
  <c r="BC78" i="99" s="1"/>
  <c r="AO78" i="99"/>
  <c r="AN79" i="99"/>
  <c r="BC79" i="99" s="1"/>
  <c r="AO79" i="99"/>
  <c r="AO80" i="99"/>
  <c r="AN81" i="99"/>
  <c r="BC81" i="99" s="1"/>
  <c r="AO81" i="99"/>
  <c r="AN82" i="99"/>
  <c r="BC82" i="99" s="1"/>
  <c r="AO82" i="99"/>
  <c r="AN83" i="99"/>
  <c r="BC83" i="99" s="1"/>
  <c r="AO83" i="99"/>
  <c r="AN84" i="99"/>
  <c r="BC84" i="99" s="1"/>
  <c r="AO84" i="99"/>
  <c r="AO85" i="99"/>
  <c r="AN86" i="99"/>
  <c r="BC86" i="99" s="1"/>
  <c r="AO86" i="99"/>
  <c r="AN87" i="99"/>
  <c r="BC87" i="99" s="1"/>
  <c r="AO87" i="99"/>
  <c r="AN88" i="99"/>
  <c r="BC88" i="99" s="1"/>
  <c r="AO88" i="99"/>
  <c r="AN89" i="99"/>
  <c r="BC89" i="99" s="1"/>
  <c r="AO89" i="99"/>
  <c r="AN90" i="99"/>
  <c r="BC90" i="99" s="1"/>
  <c r="AN91" i="99"/>
  <c r="BC91" i="99" s="1"/>
  <c r="AO91" i="99"/>
  <c r="AN92" i="99"/>
  <c r="BC92" i="99" s="1"/>
  <c r="AO92" i="99"/>
  <c r="AO93" i="99"/>
  <c r="AN94" i="99"/>
  <c r="BC94" i="99" s="1"/>
  <c r="AO94" i="99"/>
  <c r="AN95" i="99"/>
  <c r="BC95" i="99" s="1"/>
  <c r="AO95" i="99"/>
  <c r="AN96" i="99"/>
  <c r="BC96" i="99" s="1"/>
  <c r="AO96" i="99"/>
  <c r="AN97" i="99"/>
  <c r="BC97" i="99" s="1"/>
  <c r="AO97" i="99"/>
  <c r="AN98" i="99"/>
  <c r="BC98" i="99" s="1"/>
  <c r="AN99" i="99"/>
  <c r="BC99" i="99" s="1"/>
  <c r="AO99" i="99"/>
  <c r="AN100" i="99"/>
  <c r="BC100" i="99" s="1"/>
  <c r="AO100" i="99"/>
  <c r="AO101" i="99"/>
  <c r="AN102" i="99"/>
  <c r="BC102" i="99" s="1"/>
  <c r="AO102" i="99"/>
  <c r="AN103" i="99"/>
  <c r="BC103" i="99" s="1"/>
  <c r="AO103" i="99"/>
  <c r="AN104" i="99"/>
  <c r="BC104" i="99" s="1"/>
  <c r="AO104" i="99"/>
  <c r="AN105" i="99"/>
  <c r="BC105" i="99" s="1"/>
  <c r="AO105" i="99"/>
  <c r="AO106" i="99"/>
  <c r="AN107" i="99"/>
  <c r="BC107" i="99" s="1"/>
  <c r="AO107" i="99"/>
  <c r="AN85" i="99"/>
  <c r="BC85" i="99" s="1"/>
  <c r="AN64" i="99"/>
  <c r="BC64" i="99" s="1"/>
  <c r="AO43" i="99"/>
  <c r="AN21" i="99"/>
  <c r="BC21" i="99" s="1"/>
  <c r="AN72" i="99"/>
  <c r="BC72" i="99" s="1"/>
  <c r="AN51" i="99"/>
  <c r="BC51" i="99" s="1"/>
  <c r="AN33" i="99"/>
  <c r="BC33" i="99" s="1"/>
  <c r="AO18" i="99"/>
  <c r="AO69" i="99"/>
  <c r="AO48" i="99"/>
  <c r="AO30" i="99"/>
  <c r="AK93" i="99"/>
  <c r="O12" i="99"/>
  <c r="BC12" i="99" l="1"/>
  <c r="AZ12" i="99"/>
  <c r="BC13" i="99"/>
  <c r="BG21" i="99"/>
  <c r="BG97" i="99"/>
  <c r="BG88" i="99"/>
  <c r="BG61" i="99"/>
  <c r="BG53" i="99"/>
  <c r="BG49" i="99"/>
  <c r="BG45" i="99"/>
  <c r="BG22" i="99"/>
  <c r="BG17" i="99"/>
  <c r="BG30" i="99"/>
  <c r="BG92" i="99"/>
  <c r="BG84" i="99"/>
  <c r="BG76" i="99"/>
  <c r="BG73" i="99"/>
  <c r="BG68" i="99"/>
  <c r="BG65" i="99"/>
  <c r="BG57" i="99"/>
  <c r="BG48" i="99"/>
  <c r="BG41" i="99"/>
  <c r="BG37" i="99"/>
  <c r="BG34" i="99"/>
  <c r="BG29" i="99"/>
  <c r="BG26" i="99"/>
  <c r="BG59" i="99"/>
  <c r="BG102" i="99"/>
  <c r="BG42" i="99"/>
  <c r="BG105" i="99"/>
  <c r="BG64" i="99"/>
  <c r="BG100" i="99"/>
  <c r="BG96" i="99"/>
  <c r="BG87" i="99"/>
  <c r="BG79" i="99"/>
  <c r="BG60" i="99"/>
  <c r="BG56" i="99"/>
  <c r="BG52" i="99"/>
  <c r="BG44" i="99"/>
  <c r="BG16" i="99"/>
  <c r="BG109" i="99"/>
  <c r="BG101" i="99"/>
  <c r="BG38" i="99"/>
  <c r="BG85" i="99"/>
  <c r="BG104" i="99"/>
  <c r="BG91" i="99"/>
  <c r="BG83" i="99"/>
  <c r="BG47" i="99"/>
  <c r="BG40" i="99"/>
  <c r="BG25" i="99"/>
  <c r="BG20" i="99"/>
  <c r="BG80" i="99"/>
  <c r="BG69" i="99"/>
  <c r="BG108" i="99"/>
  <c r="BG95" i="99"/>
  <c r="BG90" i="99"/>
  <c r="BG78" i="99"/>
  <c r="BG75" i="99"/>
  <c r="BG71" i="99"/>
  <c r="BG67" i="99"/>
  <c r="BG63" i="99"/>
  <c r="BG55" i="99"/>
  <c r="BG43" i="99"/>
  <c r="BG36" i="99"/>
  <c r="BG32" i="99"/>
  <c r="BG28" i="99"/>
  <c r="BG14" i="99"/>
  <c r="BG110" i="99"/>
  <c r="BG72" i="99"/>
  <c r="BG33" i="99"/>
  <c r="BG103" i="99"/>
  <c r="BG99" i="99"/>
  <c r="BG86" i="99"/>
  <c r="BG82" i="99"/>
  <c r="BG39" i="99"/>
  <c r="BG24" i="99"/>
  <c r="BG19" i="99"/>
  <c r="BG111" i="99"/>
  <c r="BG93" i="99"/>
  <c r="BG81" i="99"/>
  <c r="BG51" i="99"/>
  <c r="BG107" i="99"/>
  <c r="BG98" i="99"/>
  <c r="BG94" i="99"/>
  <c r="BG89" i="99"/>
  <c r="BG77" i="99"/>
  <c r="BG74" i="99"/>
  <c r="BG70" i="99"/>
  <c r="BG66" i="99"/>
  <c r="BG62" i="99"/>
  <c r="BG58" i="99"/>
  <c r="BG54" i="99"/>
  <c r="BG50" i="99"/>
  <c r="BG46" i="99"/>
  <c r="BG35" i="99"/>
  <c r="BG31" i="99"/>
  <c r="BG27" i="99"/>
  <c r="BG23" i="99"/>
  <c r="BG18" i="99"/>
  <c r="BG106" i="99"/>
  <c r="AK13" i="99"/>
  <c r="AK51" i="91"/>
  <c r="AK138" i="91" s="1"/>
  <c r="AQ13" i="99"/>
  <c r="AZ57" i="99"/>
  <c r="AQ48" i="99"/>
  <c r="AK29" i="99"/>
  <c r="AZ26" i="99"/>
  <c r="AV47" i="99"/>
  <c r="AK101" i="99"/>
  <c r="AQ67" i="99"/>
  <c r="AK63" i="99"/>
  <c r="AS14" i="99"/>
  <c r="AK80" i="99"/>
  <c r="AS16" i="99"/>
  <c r="AV109" i="99"/>
  <c r="AZ59" i="99"/>
  <c r="AS39" i="99"/>
  <c r="AS12" i="99"/>
  <c r="AV89" i="99"/>
  <c r="AS74" i="99"/>
  <c r="AS58" i="99"/>
  <c r="AS60" i="99"/>
  <c r="AQ38" i="99"/>
  <c r="AV108" i="99"/>
  <c r="AZ106" i="99"/>
  <c r="AK36" i="91"/>
  <c r="AZ29" i="99"/>
  <c r="AK106" i="99"/>
  <c r="AV60" i="99"/>
  <c r="AQ57" i="99"/>
  <c r="AZ48" i="99"/>
  <c r="AV59" i="99"/>
  <c r="AQ60" i="99"/>
  <c r="AQ101" i="99"/>
  <c r="AV101" i="99"/>
  <c r="AS101" i="99"/>
  <c r="AK108" i="99"/>
  <c r="AQ59" i="99"/>
  <c r="AZ80" i="99"/>
  <c r="AV80" i="99"/>
  <c r="AS80" i="99"/>
  <c r="AZ99" i="99"/>
  <c r="AZ109" i="99"/>
  <c r="AK109" i="99"/>
  <c r="AS89" i="99"/>
  <c r="AK59" i="99"/>
  <c r="AS109" i="99"/>
  <c r="AS59" i="99"/>
  <c r="AS108" i="99"/>
  <c r="AZ108" i="99"/>
  <c r="AK17" i="99"/>
  <c r="AZ60" i="99"/>
  <c r="AS99" i="99"/>
  <c r="AQ81" i="99"/>
  <c r="AZ77" i="99"/>
  <c r="AQ74" i="99"/>
  <c r="AK70" i="99"/>
  <c r="AZ66" i="99"/>
  <c r="AS62" i="99"/>
  <c r="AQ39" i="99"/>
  <c r="AK24" i="99"/>
  <c r="AQ19" i="99"/>
  <c r="AV105" i="99"/>
  <c r="AQ97" i="99"/>
  <c r="AQ88" i="99"/>
  <c r="AQ69" i="99"/>
  <c r="AQ58" i="99"/>
  <c r="AZ54" i="99"/>
  <c r="AQ50" i="99"/>
  <c r="AQ46" i="99"/>
  <c r="AQ35" i="99"/>
  <c r="AQ31" i="99"/>
  <c r="AQ27" i="99"/>
  <c r="AQ23" i="99"/>
  <c r="AQ80" i="99"/>
  <c r="AQ92" i="99"/>
  <c r="AQ84" i="99"/>
  <c r="AQ42" i="99"/>
  <c r="AZ38" i="99"/>
  <c r="AK30" i="99"/>
  <c r="AQ108" i="99"/>
  <c r="AZ101" i="99"/>
  <c r="AQ104" i="99"/>
  <c r="AQ100" i="99"/>
  <c r="AS96" i="99"/>
  <c r="AK87" i="99"/>
  <c r="AQ76" i="99"/>
  <c r="AQ73" i="99"/>
  <c r="AK68" i="99"/>
  <c r="AZ65" i="99"/>
  <c r="AQ53" i="99"/>
  <c r="AK49" i="99"/>
  <c r="AS45" i="99"/>
  <c r="AQ17" i="99"/>
  <c r="AZ111" i="99"/>
  <c r="AZ33" i="99"/>
  <c r="AS91" i="99"/>
  <c r="AK83" i="99"/>
  <c r="AS79" i="99"/>
  <c r="AK60" i="99"/>
  <c r="AS57" i="99"/>
  <c r="AK48" i="99"/>
  <c r="AQ37" i="99"/>
  <c r="AQ34" i="99"/>
  <c r="AQ29" i="99"/>
  <c r="AQ26" i="99"/>
  <c r="AV51" i="99"/>
  <c r="AQ103" i="99"/>
  <c r="AQ95" i="99"/>
  <c r="AQ90" i="99"/>
  <c r="AK56" i="99"/>
  <c r="AK52" i="99"/>
  <c r="AK44" i="99"/>
  <c r="AQ106" i="99"/>
  <c r="AZ93" i="99"/>
  <c r="AQ72" i="99"/>
  <c r="AQ107" i="99"/>
  <c r="AK99" i="99"/>
  <c r="AQ86" i="99"/>
  <c r="AZ82" i="99"/>
  <c r="AQ78" i="99"/>
  <c r="AQ75" i="99"/>
  <c r="AZ71" i="99"/>
  <c r="AZ67" i="99"/>
  <c r="AQ47" i="99"/>
  <c r="AZ40" i="99"/>
  <c r="AV21" i="99"/>
  <c r="AS102" i="99"/>
  <c r="AK98" i="99"/>
  <c r="AQ89" i="99"/>
  <c r="AZ55" i="99"/>
  <c r="AV43" i="99"/>
  <c r="AK36" i="99"/>
  <c r="AK32" i="99"/>
  <c r="AK28" i="99"/>
  <c r="AQ14" i="99"/>
  <c r="AQ109" i="99"/>
  <c r="AK12" i="99"/>
  <c r="AQ12" i="99"/>
  <c r="AK20" i="99"/>
  <c r="AS19" i="99"/>
  <c r="AZ19" i="99"/>
  <c r="AV19" i="99"/>
  <c r="AZ18" i="99"/>
  <c r="AQ98" i="99"/>
  <c r="AS63" i="99"/>
  <c r="AS98" i="99"/>
  <c r="AK21" i="99"/>
  <c r="AK38" i="99"/>
  <c r="AV29" i="99"/>
  <c r="AV93" i="99"/>
  <c r="AK43" i="99"/>
  <c r="AQ63" i="99"/>
  <c r="AZ87" i="99"/>
  <c r="AS29" i="99"/>
  <c r="AS77" i="99"/>
  <c r="AK26" i="99"/>
  <c r="AS43" i="99"/>
  <c r="AS87" i="99"/>
  <c r="AQ87" i="99"/>
  <c r="AV57" i="99"/>
  <c r="AS38" i="99"/>
  <c r="AK111" i="99"/>
  <c r="AS48" i="99"/>
  <c r="AK77" i="99"/>
  <c r="AQ93" i="99"/>
  <c r="AV111" i="99"/>
  <c r="AS93" i="99"/>
  <c r="AQ77" i="99"/>
  <c r="AZ63" i="99"/>
  <c r="AS26" i="99"/>
  <c r="AK34" i="99"/>
  <c r="AQ43" i="99"/>
  <c r="AS106" i="99"/>
  <c r="AS67" i="99"/>
  <c r="AS111" i="99"/>
  <c r="AV38" i="99"/>
  <c r="AZ43" i="99"/>
  <c r="AZ98" i="99"/>
  <c r="AV67" i="99"/>
  <c r="AK67" i="99"/>
  <c r="AQ111" i="99"/>
  <c r="AV26" i="99"/>
  <c r="AV106" i="99"/>
  <c r="AV48" i="99"/>
  <c r="AK58" i="99"/>
  <c r="AS88" i="99"/>
  <c r="AZ58" i="99"/>
  <c r="AZ88" i="99"/>
  <c r="AZ100" i="99"/>
  <c r="AV100" i="99"/>
  <c r="AS13" i="99"/>
  <c r="AK19" i="99"/>
  <c r="AS100" i="99"/>
  <c r="AK88" i="99"/>
  <c r="AQ99" i="99"/>
  <c r="AK100" i="99"/>
  <c r="AK103" i="99"/>
  <c r="AQ55" i="99"/>
  <c r="AV98" i="99"/>
  <c r="AS55" i="99"/>
  <c r="AK104" i="99"/>
  <c r="AK27" i="99"/>
  <c r="AZ31" i="99"/>
  <c r="AZ27" i="99"/>
  <c r="AV22" i="99"/>
  <c r="AV87" i="99"/>
  <c r="AV63" i="99"/>
  <c r="AV58" i="99"/>
  <c r="AQ20" i="99"/>
  <c r="AZ20" i="99"/>
  <c r="AQ22" i="99"/>
  <c r="AV31" i="99"/>
  <c r="AV25" i="99"/>
  <c r="AS20" i="99"/>
  <c r="AQ68" i="99"/>
  <c r="AQ91" i="99"/>
  <c r="AS22" i="99"/>
  <c r="AK22" i="99"/>
  <c r="AK65" i="99"/>
  <c r="AS68" i="99"/>
  <c r="AZ22" i="99"/>
  <c r="AK31" i="99"/>
  <c r="AK91" i="99"/>
  <c r="AS31" i="99"/>
  <c r="AZ68" i="99"/>
  <c r="AV27" i="99"/>
  <c r="AS27" i="99"/>
  <c r="AS65" i="99"/>
  <c r="AV90" i="99"/>
  <c r="AK96" i="99"/>
  <c r="AS94" i="99"/>
  <c r="AV44" i="99"/>
  <c r="AV30" i="99"/>
  <c r="AZ39" i="99"/>
  <c r="AK78" i="99"/>
  <c r="AZ44" i="99"/>
  <c r="AV91" i="99"/>
  <c r="AV65" i="99"/>
  <c r="AV40" i="99"/>
  <c r="AZ37" i="99"/>
  <c r="AS30" i="99"/>
  <c r="AZ47" i="99"/>
  <c r="AS34" i="99"/>
  <c r="AQ64" i="99"/>
  <c r="AK75" i="99"/>
  <c r="AZ96" i="99"/>
  <c r="AK71" i="99"/>
  <c r="AS44" i="99"/>
  <c r="AV88" i="99"/>
  <c r="AZ30" i="99"/>
  <c r="AZ78" i="99"/>
  <c r="AV99" i="99"/>
  <c r="AS47" i="99"/>
  <c r="AK39" i="99"/>
  <c r="AZ64" i="99"/>
  <c r="AS75" i="99"/>
  <c r="AQ96" i="99"/>
  <c r="AS71" i="99"/>
  <c r="AV86" i="99"/>
  <c r="AV34" i="99"/>
  <c r="AK37" i="99"/>
  <c r="AZ94" i="99"/>
  <c r="AZ90" i="99"/>
  <c r="AZ75" i="99"/>
  <c r="AQ71" i="99"/>
  <c r="AK64" i="99"/>
  <c r="AV37" i="99"/>
  <c r="AZ21" i="99"/>
  <c r="AK47" i="99"/>
  <c r="AV71" i="99"/>
  <c r="AK90" i="99"/>
  <c r="AS37" i="99"/>
  <c r="AQ94" i="99"/>
  <c r="AK82" i="99"/>
  <c r="AS78" i="99"/>
  <c r="AS90" i="99"/>
  <c r="AS64" i="99"/>
  <c r="AS21" i="99"/>
  <c r="AQ30" i="99"/>
  <c r="AZ34" i="99"/>
  <c r="AQ44" i="99"/>
  <c r="AK94" i="99"/>
  <c r="AV96" i="99"/>
  <c r="AV94" i="99"/>
  <c r="AV78" i="99"/>
  <c r="AV77" i="99"/>
  <c r="AV39" i="99"/>
  <c r="AS53" i="99"/>
  <c r="AV53" i="99"/>
  <c r="AZ53" i="99"/>
  <c r="AQ52" i="99"/>
  <c r="AS86" i="99"/>
  <c r="AS104" i="99"/>
  <c r="AK86" i="99"/>
  <c r="AZ86" i="99"/>
  <c r="AK62" i="99"/>
  <c r="AZ84" i="99"/>
  <c r="AK55" i="99"/>
  <c r="AZ62" i="99"/>
  <c r="AQ62" i="99"/>
  <c r="AS50" i="99"/>
  <c r="AK53" i="99"/>
  <c r="AQ49" i="99"/>
  <c r="AS76" i="99"/>
  <c r="AV20" i="99"/>
  <c r="AV68" i="99"/>
  <c r="AK105" i="99"/>
  <c r="AZ91" i="99"/>
  <c r="AQ102" i="99"/>
  <c r="AS83" i="99"/>
  <c r="AQ65" i="99"/>
  <c r="AS103" i="99"/>
  <c r="AQ105" i="99"/>
  <c r="AV28" i="99"/>
  <c r="AZ28" i="99"/>
  <c r="AS28" i="99"/>
  <c r="AQ28" i="99"/>
  <c r="AS17" i="99"/>
  <c r="AZ13" i="99"/>
  <c r="AV103" i="99"/>
  <c r="AS32" i="99"/>
  <c r="AQ56" i="99"/>
  <c r="AS105" i="99"/>
  <c r="AQ36" i="99"/>
  <c r="AV75" i="99"/>
  <c r="AV46" i="99"/>
  <c r="AV17" i="99"/>
  <c r="AQ16" i="99"/>
  <c r="AK16" i="99"/>
  <c r="AV16" i="99"/>
  <c r="AZ16" i="99"/>
  <c r="AK42" i="99"/>
  <c r="AS73" i="99"/>
  <c r="AK76" i="99"/>
  <c r="AV76" i="99"/>
  <c r="AV73" i="99"/>
  <c r="AV49" i="99"/>
  <c r="AZ72" i="99"/>
  <c r="AK40" i="99"/>
  <c r="AK79" i="99"/>
  <c r="AK45" i="99"/>
  <c r="AS69" i="99"/>
  <c r="AZ69" i="99"/>
  <c r="AV64" i="99"/>
  <c r="AK35" i="99"/>
  <c r="AZ45" i="99"/>
  <c r="AK23" i="99"/>
  <c r="AQ40" i="99"/>
  <c r="AS35" i="99"/>
  <c r="AZ79" i="99"/>
  <c r="AV45" i="99"/>
  <c r="AV23" i="99"/>
  <c r="AS72" i="99"/>
  <c r="AK69" i="99"/>
  <c r="AK73" i="99"/>
  <c r="AZ76" i="99"/>
  <c r="AS23" i="99"/>
  <c r="AZ35" i="99"/>
  <c r="AQ79" i="99"/>
  <c r="AV69" i="99"/>
  <c r="AV42" i="99"/>
  <c r="AV35" i="99"/>
  <c r="AV79" i="99"/>
  <c r="AZ23" i="99"/>
  <c r="AS42" i="99"/>
  <c r="AZ42" i="99"/>
  <c r="AS49" i="99"/>
  <c r="AZ25" i="99"/>
  <c r="AZ49" i="99"/>
  <c r="AK74" i="99"/>
  <c r="AZ83" i="99"/>
  <c r="AK95" i="99"/>
  <c r="AK54" i="99"/>
  <c r="AV50" i="99"/>
  <c r="AV52" i="99"/>
  <c r="AQ82" i="99"/>
  <c r="AV82" i="99"/>
  <c r="AV61" i="99"/>
  <c r="N9" i="99"/>
  <c r="AQ83" i="99"/>
  <c r="AS82" i="99"/>
  <c r="AQ54" i="99"/>
  <c r="AV55" i="99"/>
  <c r="AV83" i="99"/>
  <c r="AK97" i="99"/>
  <c r="AS81" i="99"/>
  <c r="AS95" i="99"/>
  <c r="AK102" i="99"/>
  <c r="AK84" i="99"/>
  <c r="AZ50" i="99"/>
  <c r="AK50" i="99"/>
  <c r="AZ52" i="99"/>
  <c r="AV104" i="99"/>
  <c r="AV95" i="99"/>
  <c r="AV62" i="99"/>
  <c r="AS54" i="99"/>
  <c r="AZ95" i="99"/>
  <c r="AS85" i="99"/>
  <c r="AZ74" i="99"/>
  <c r="AV85" i="99"/>
  <c r="AZ17" i="99"/>
  <c r="AZ85" i="99"/>
  <c r="AS84" i="99"/>
  <c r="AV102" i="99"/>
  <c r="AV54" i="99"/>
  <c r="AZ97" i="99"/>
  <c r="AS52" i="99"/>
  <c r="AS97" i="99"/>
  <c r="AK81" i="99"/>
  <c r="AV81" i="99"/>
  <c r="AZ81" i="99"/>
  <c r="AV84" i="99"/>
  <c r="AZ104" i="99"/>
  <c r="AV74" i="99"/>
  <c r="AZ56" i="99"/>
  <c r="AZ36" i="99"/>
  <c r="AQ110" i="99"/>
  <c r="AK51" i="99"/>
  <c r="AK92" i="99"/>
  <c r="AK18" i="99"/>
  <c r="AS70" i="99"/>
  <c r="AZ110" i="99"/>
  <c r="AS51" i="99"/>
  <c r="AQ66" i="99"/>
  <c r="AQ41" i="99"/>
  <c r="AV56" i="99"/>
  <c r="AS18" i="99"/>
  <c r="AQ32" i="99"/>
  <c r="AZ51" i="99"/>
  <c r="AK107" i="99"/>
  <c r="AV107" i="99"/>
  <c r="AK110" i="99"/>
  <c r="AZ32" i="99"/>
  <c r="AS107" i="99"/>
  <c r="AQ51" i="99"/>
  <c r="AV66" i="99"/>
  <c r="AS24" i="99"/>
  <c r="AS56" i="99"/>
  <c r="AZ41" i="99"/>
  <c r="AS66" i="99"/>
  <c r="AZ92" i="99"/>
  <c r="AS110" i="99"/>
  <c r="AS61" i="99"/>
  <c r="AV110" i="99"/>
  <c r="AK61" i="99"/>
  <c r="AV24" i="99"/>
  <c r="AS41" i="99"/>
  <c r="AK46" i="99"/>
  <c r="AZ61" i="99"/>
  <c r="AQ24" i="99"/>
  <c r="AK66" i="99"/>
  <c r="AQ70" i="99"/>
  <c r="AK41" i="99"/>
  <c r="AZ70" i="99"/>
  <c r="AS36" i="99"/>
  <c r="AV36" i="99"/>
  <c r="AQ18" i="99"/>
  <c r="AZ46" i="99"/>
  <c r="AZ24" i="99"/>
  <c r="AZ107" i="99"/>
  <c r="AV41" i="99"/>
  <c r="AV70" i="99"/>
  <c r="AV18" i="99"/>
  <c r="AS46" i="99"/>
  <c r="AQ33" i="99"/>
  <c r="AV13" i="99"/>
  <c r="AK33" i="99"/>
  <c r="AV33" i="99"/>
  <c r="AK57" i="99"/>
  <c r="AV32" i="99"/>
  <c r="AZ89" i="99"/>
  <c r="AK89" i="99"/>
  <c r="AS92" i="99"/>
  <c r="AV92" i="99"/>
  <c r="AV14" i="99"/>
  <c r="AZ14" i="99"/>
  <c r="AK14" i="99"/>
  <c r="AK72" i="99"/>
  <c r="AZ73" i="99"/>
  <c r="AZ103" i="99"/>
  <c r="AQ61" i="99"/>
  <c r="AQ85" i="99"/>
  <c r="AK85" i="99"/>
  <c r="AQ45" i="99"/>
  <c r="AS40" i="99"/>
  <c r="AS25" i="99"/>
  <c r="AK25" i="99"/>
  <c r="AQ25" i="99"/>
  <c r="AS33" i="99"/>
  <c r="AZ102" i="99"/>
  <c r="AV97" i="99"/>
  <c r="AQ21" i="99"/>
  <c r="AV72" i="99"/>
  <c r="AZ105" i="99"/>
  <c r="BK12" i="99"/>
  <c r="AV12" i="99"/>
  <c r="AW12" i="99" s="1"/>
  <c r="AX12" i="99" s="1"/>
  <c r="BG12" i="99" l="1"/>
  <c r="BG13" i="99"/>
  <c r="BH72" i="99"/>
  <c r="BH27" i="99"/>
  <c r="BH70" i="99"/>
  <c r="BH76" i="99"/>
  <c r="BH99" i="99"/>
  <c r="BH21" i="99"/>
  <c r="BH78" i="99"/>
  <c r="BH97" i="99"/>
  <c r="BH56" i="99"/>
  <c r="BH20" i="99"/>
  <c r="BH85" i="99"/>
  <c r="BH35" i="99"/>
  <c r="BH94" i="99"/>
  <c r="BH93" i="99"/>
  <c r="BH33" i="99"/>
  <c r="BH28" i="99"/>
  <c r="BH40" i="99"/>
  <c r="BH83" i="99"/>
  <c r="BH87" i="99"/>
  <c r="BH31" i="99"/>
  <c r="BH77" i="99"/>
  <c r="BH79" i="99"/>
  <c r="BH30" i="99"/>
  <c r="BH37" i="99"/>
  <c r="BH46" i="99"/>
  <c r="BH98" i="99"/>
  <c r="BH111" i="99"/>
  <c r="BH75" i="99"/>
  <c r="BH32" i="99"/>
  <c r="BH104" i="99"/>
  <c r="BH65" i="99"/>
  <c r="BH96" i="99"/>
  <c r="BH103" i="99"/>
  <c r="BH42" i="99"/>
  <c r="BH92" i="99"/>
  <c r="BH50" i="99"/>
  <c r="BH51" i="99"/>
  <c r="BH19" i="99"/>
  <c r="BH90" i="99"/>
  <c r="BH36" i="99"/>
  <c r="BH100" i="99"/>
  <c r="BH49" i="99"/>
  <c r="BH41" i="99"/>
  <c r="BH95" i="99"/>
  <c r="BH69" i="99"/>
  <c r="BH54" i="99"/>
  <c r="BH91" i="99"/>
  <c r="BH24" i="99"/>
  <c r="BH25" i="99"/>
  <c r="BH43" i="99"/>
  <c r="BH68" i="99"/>
  <c r="BH88" i="99"/>
  <c r="BH84" i="99"/>
  <c r="BH110" i="99"/>
  <c r="BH81" i="99"/>
  <c r="BH18" i="99"/>
  <c r="BH62" i="99"/>
  <c r="BH64" i="99"/>
  <c r="BH82" i="99"/>
  <c r="BH73" i="99"/>
  <c r="BH55" i="99"/>
  <c r="BH105" i="99"/>
  <c r="BH44" i="99"/>
  <c r="BH61" i="99"/>
  <c r="BH107" i="99"/>
  <c r="BH53" i="99"/>
  <c r="BH102" i="99"/>
  <c r="BH23" i="99"/>
  <c r="BH66" i="99"/>
  <c r="BH34" i="99"/>
  <c r="BH86" i="99"/>
  <c r="BH22" i="99"/>
  <c r="BH71" i="99"/>
  <c r="BH45" i="99"/>
  <c r="BH52" i="99"/>
  <c r="BH17" i="99"/>
  <c r="AW43" i="99"/>
  <c r="AX43" i="99" s="1"/>
  <c r="AW32" i="99"/>
  <c r="AX32" i="99" s="1"/>
  <c r="AW70" i="99"/>
  <c r="AX70" i="99" s="1"/>
  <c r="AW24" i="99"/>
  <c r="AX24" i="99" s="1"/>
  <c r="AW74" i="99"/>
  <c r="AX74" i="99" s="1"/>
  <c r="AW52" i="99"/>
  <c r="AX52" i="99" s="1"/>
  <c r="AW69" i="99"/>
  <c r="AX69" i="99" s="1"/>
  <c r="AW49" i="99"/>
  <c r="AX49" i="99" s="1"/>
  <c r="AW28" i="99"/>
  <c r="AX28" i="99" s="1"/>
  <c r="AW68" i="99"/>
  <c r="AX68" i="99" s="1"/>
  <c r="AW27" i="99"/>
  <c r="AX27" i="99" s="1"/>
  <c r="AW51" i="99"/>
  <c r="AX51" i="99" s="1"/>
  <c r="AW89" i="99"/>
  <c r="AX89" i="99" s="1"/>
  <c r="AW109" i="99"/>
  <c r="AX109" i="99" s="1"/>
  <c r="AW55" i="99"/>
  <c r="AX55" i="99" s="1"/>
  <c r="AW60" i="99"/>
  <c r="AX60" i="99" s="1"/>
  <c r="AW41" i="99"/>
  <c r="AX41" i="99" s="1"/>
  <c r="AW54" i="99"/>
  <c r="AX54" i="99" s="1"/>
  <c r="AW50" i="99"/>
  <c r="AX50" i="99" s="1"/>
  <c r="AW23" i="99"/>
  <c r="AX23" i="99" s="1"/>
  <c r="AW64" i="99"/>
  <c r="AX64" i="99" s="1"/>
  <c r="AW73" i="99"/>
  <c r="AX73" i="99" s="1"/>
  <c r="AW20" i="99"/>
  <c r="AX20" i="99" s="1"/>
  <c r="AW53" i="99"/>
  <c r="AX53" i="99" s="1"/>
  <c r="AW88" i="99"/>
  <c r="AX88" i="99" s="1"/>
  <c r="AW30" i="99"/>
  <c r="AX30" i="99" s="1"/>
  <c r="AW101" i="99"/>
  <c r="AX101" i="99" s="1"/>
  <c r="AW86" i="99"/>
  <c r="AX86" i="99" s="1"/>
  <c r="AW33" i="99"/>
  <c r="AX33" i="99" s="1"/>
  <c r="AW45" i="99"/>
  <c r="AX45" i="99" s="1"/>
  <c r="AW76" i="99"/>
  <c r="AX76" i="99" s="1"/>
  <c r="AW103" i="99"/>
  <c r="AX103" i="99" s="1"/>
  <c r="AW44" i="99"/>
  <c r="AX44" i="99" s="1"/>
  <c r="AW58" i="99"/>
  <c r="AX58" i="99" s="1"/>
  <c r="AW48" i="99"/>
  <c r="AX48" i="99" s="1"/>
  <c r="AW38" i="99"/>
  <c r="AX38" i="99" s="1"/>
  <c r="AW57" i="99"/>
  <c r="AX57" i="99" s="1"/>
  <c r="AW18" i="99"/>
  <c r="AX18" i="99" s="1"/>
  <c r="AW42" i="99"/>
  <c r="AX42" i="99" s="1"/>
  <c r="AW37" i="99"/>
  <c r="AX37" i="99" s="1"/>
  <c r="AW110" i="99"/>
  <c r="AX110" i="99" s="1"/>
  <c r="AW84" i="99"/>
  <c r="AX84" i="99" s="1"/>
  <c r="AW97" i="99"/>
  <c r="AX97" i="99" s="1"/>
  <c r="AW14" i="99"/>
  <c r="AX14" i="99" s="1"/>
  <c r="AW62" i="99"/>
  <c r="AX62" i="99" s="1"/>
  <c r="AW39" i="99"/>
  <c r="AX39" i="99" s="1"/>
  <c r="AW40" i="99"/>
  <c r="AX40" i="99" s="1"/>
  <c r="AW63" i="99"/>
  <c r="AX63" i="99" s="1"/>
  <c r="AW98" i="99"/>
  <c r="AX98" i="99" s="1"/>
  <c r="AW106" i="99"/>
  <c r="AX106" i="99" s="1"/>
  <c r="AW67" i="99"/>
  <c r="AX67" i="99" s="1"/>
  <c r="AW72" i="99"/>
  <c r="AX72" i="99" s="1"/>
  <c r="AW92" i="99"/>
  <c r="AX92" i="99" s="1"/>
  <c r="AW56" i="99"/>
  <c r="AX56" i="99" s="1"/>
  <c r="AW81" i="99"/>
  <c r="AX81" i="99" s="1"/>
  <c r="AW79" i="99"/>
  <c r="AX79" i="99" s="1"/>
  <c r="AW46" i="99"/>
  <c r="AX46" i="99" s="1"/>
  <c r="AW77" i="99"/>
  <c r="AX77" i="99" s="1"/>
  <c r="AW71" i="99"/>
  <c r="AX71" i="99" s="1"/>
  <c r="AW65" i="99"/>
  <c r="AX65" i="99" s="1"/>
  <c r="AW87" i="99"/>
  <c r="AX87" i="99" s="1"/>
  <c r="AW100" i="99"/>
  <c r="AX100" i="99" s="1"/>
  <c r="AW26" i="99"/>
  <c r="AX26" i="99" s="1"/>
  <c r="AW111" i="99"/>
  <c r="AX111" i="99" s="1"/>
  <c r="AW93" i="99"/>
  <c r="AX93" i="99" s="1"/>
  <c r="AW19" i="99"/>
  <c r="AX19" i="99" s="1"/>
  <c r="AW21" i="99"/>
  <c r="AX21" i="99" s="1"/>
  <c r="AW80" i="99"/>
  <c r="AX80" i="99" s="1"/>
  <c r="AW59" i="99"/>
  <c r="AX59" i="99" s="1"/>
  <c r="AW107" i="99"/>
  <c r="AX107" i="99" s="1"/>
  <c r="AW96" i="99"/>
  <c r="AX96" i="99" s="1"/>
  <c r="AW66" i="99"/>
  <c r="AX66" i="99" s="1"/>
  <c r="AW13" i="99"/>
  <c r="AX13" i="99" s="1"/>
  <c r="AW104" i="99"/>
  <c r="AX104" i="99" s="1"/>
  <c r="AW61" i="99"/>
  <c r="AX61" i="99" s="1"/>
  <c r="AW35" i="99"/>
  <c r="AX35" i="99" s="1"/>
  <c r="AW75" i="99"/>
  <c r="AX75" i="99" s="1"/>
  <c r="AW78" i="99"/>
  <c r="AX78" i="99" s="1"/>
  <c r="AW91" i="99"/>
  <c r="AX91" i="99" s="1"/>
  <c r="AW90" i="99"/>
  <c r="AX90" i="99" s="1"/>
  <c r="AW25" i="99"/>
  <c r="AX25" i="99" s="1"/>
  <c r="AW22" i="99"/>
  <c r="AX22" i="99" s="1"/>
  <c r="AW29" i="99"/>
  <c r="AX29" i="99" s="1"/>
  <c r="AW105" i="99"/>
  <c r="AX105" i="99" s="1"/>
  <c r="AW102" i="99"/>
  <c r="AX102" i="99" s="1"/>
  <c r="AW95" i="99"/>
  <c r="AX95" i="99" s="1"/>
  <c r="AW36" i="99"/>
  <c r="AX36" i="99" s="1"/>
  <c r="AW85" i="99"/>
  <c r="AX85" i="99" s="1"/>
  <c r="AW83" i="99"/>
  <c r="AX83" i="99" s="1"/>
  <c r="AW82" i="99"/>
  <c r="AX82" i="99" s="1"/>
  <c r="AW94" i="99"/>
  <c r="AX94" i="99" s="1"/>
  <c r="AW34" i="99"/>
  <c r="AX34" i="99" s="1"/>
  <c r="AW99" i="99"/>
  <c r="AX99" i="99" s="1"/>
  <c r="AW31" i="99"/>
  <c r="AX31" i="99" s="1"/>
  <c r="AW108" i="99"/>
  <c r="AX108" i="99" s="1"/>
  <c r="AW47" i="99"/>
  <c r="AX47" i="99" s="1"/>
  <c r="AW17" i="99"/>
  <c r="AX17" i="99" s="1"/>
  <c r="AW16" i="99"/>
  <c r="AX16" i="99" s="1"/>
  <c r="BH39" i="99"/>
  <c r="BH80" i="99"/>
  <c r="BH101" i="99"/>
  <c r="AY50" i="81"/>
  <c r="BB54" i="99" s="1"/>
  <c r="AY51" i="81"/>
  <c r="AY52" i="81"/>
  <c r="BB56" i="99" s="1"/>
  <c r="AY53" i="81"/>
  <c r="BB57" i="99" s="1"/>
  <c r="AY55" i="81"/>
  <c r="BB59" i="99" s="1"/>
  <c r="AY56" i="81"/>
  <c r="BB60" i="99" s="1"/>
  <c r="B14" i="95"/>
  <c r="G14" i="95"/>
  <c r="BE14" i="95" s="1"/>
  <c r="H14" i="95"/>
  <c r="I14" i="95"/>
  <c r="J14" i="95"/>
  <c r="Z14" i="95"/>
  <c r="B16" i="95"/>
  <c r="G16" i="95"/>
  <c r="BE16" i="95" s="1"/>
  <c r="H16" i="95"/>
  <c r="I16" i="95"/>
  <c r="J16" i="95"/>
  <c r="K16" i="95"/>
  <c r="Z16" i="95"/>
  <c r="B17" i="95"/>
  <c r="G17" i="95"/>
  <c r="BE17" i="95" s="1"/>
  <c r="H17" i="95"/>
  <c r="I17" i="95"/>
  <c r="J17" i="95"/>
  <c r="Z17" i="95"/>
  <c r="B18" i="95"/>
  <c r="G18" i="95"/>
  <c r="BE18" i="95" s="1"/>
  <c r="H18" i="95"/>
  <c r="I18" i="95"/>
  <c r="J18" i="95"/>
  <c r="K18" i="95"/>
  <c r="BH18" i="95" s="1"/>
  <c r="Z18" i="95"/>
  <c r="B19" i="95"/>
  <c r="G19" i="95"/>
  <c r="BE19" i="95" s="1"/>
  <c r="H19" i="95"/>
  <c r="I19" i="95"/>
  <c r="J19" i="95"/>
  <c r="K19" i="95"/>
  <c r="BH19" i="95" s="1"/>
  <c r="Z19" i="95"/>
  <c r="B20" i="95"/>
  <c r="G20" i="95"/>
  <c r="BE20" i="95" s="1"/>
  <c r="H20" i="95"/>
  <c r="I20" i="95"/>
  <c r="J20" i="95"/>
  <c r="K20" i="95"/>
  <c r="BH20" i="95" s="1"/>
  <c r="Z20" i="95"/>
  <c r="B21" i="95"/>
  <c r="G21" i="95"/>
  <c r="BE21" i="95" s="1"/>
  <c r="H21" i="95"/>
  <c r="I21" i="95"/>
  <c r="J21" i="95"/>
  <c r="K21" i="95"/>
  <c r="BH21" i="95" s="1"/>
  <c r="Z21" i="95"/>
  <c r="B22" i="95"/>
  <c r="G22" i="95"/>
  <c r="BE22" i="95" s="1"/>
  <c r="H22" i="95"/>
  <c r="I22" i="95"/>
  <c r="J22" i="95"/>
  <c r="K22" i="95"/>
  <c r="BH22" i="95" s="1"/>
  <c r="Z22" i="95"/>
  <c r="B23" i="95"/>
  <c r="G23" i="95"/>
  <c r="BE23" i="95" s="1"/>
  <c r="H23" i="95"/>
  <c r="I23" i="95"/>
  <c r="J23" i="95"/>
  <c r="K23" i="95"/>
  <c r="BH23" i="95" s="1"/>
  <c r="Z23" i="95"/>
  <c r="B24" i="95"/>
  <c r="G24" i="95"/>
  <c r="BE24" i="95" s="1"/>
  <c r="H24" i="95"/>
  <c r="I24" i="95"/>
  <c r="J24" i="95"/>
  <c r="K24" i="95"/>
  <c r="Z24" i="95"/>
  <c r="B25" i="95"/>
  <c r="G25" i="95"/>
  <c r="BE25" i="95" s="1"/>
  <c r="H25" i="95"/>
  <c r="I25" i="95"/>
  <c r="J25" i="95"/>
  <c r="K25" i="95"/>
  <c r="Z25" i="95"/>
  <c r="B26" i="95"/>
  <c r="G26" i="95"/>
  <c r="BE26" i="95" s="1"/>
  <c r="H26" i="95"/>
  <c r="I26" i="95"/>
  <c r="J26" i="95"/>
  <c r="K26" i="95"/>
  <c r="Z26" i="95"/>
  <c r="B27" i="95"/>
  <c r="G27" i="95"/>
  <c r="BE27" i="95" s="1"/>
  <c r="H27" i="95"/>
  <c r="I27" i="95"/>
  <c r="J27" i="95"/>
  <c r="K27" i="95"/>
  <c r="Z27" i="95"/>
  <c r="B28" i="95"/>
  <c r="G28" i="95"/>
  <c r="BE28" i="95" s="1"/>
  <c r="H28" i="95"/>
  <c r="I28" i="95"/>
  <c r="J28" i="95"/>
  <c r="K28" i="95"/>
  <c r="Z28" i="95"/>
  <c r="B29" i="95"/>
  <c r="G29" i="95"/>
  <c r="BE29" i="95" s="1"/>
  <c r="H29" i="95"/>
  <c r="I29" i="95"/>
  <c r="J29" i="95"/>
  <c r="K29" i="95"/>
  <c r="Z29" i="95"/>
  <c r="B30" i="95"/>
  <c r="G30" i="95"/>
  <c r="BE30" i="95" s="1"/>
  <c r="H30" i="95"/>
  <c r="I30" i="95"/>
  <c r="J30" i="95"/>
  <c r="K30" i="95"/>
  <c r="Z30" i="95"/>
  <c r="B31" i="95"/>
  <c r="G31" i="95"/>
  <c r="BE31" i="95" s="1"/>
  <c r="H31" i="95"/>
  <c r="I31" i="95"/>
  <c r="J31" i="95"/>
  <c r="K31" i="95"/>
  <c r="Z31" i="95"/>
  <c r="B32" i="95"/>
  <c r="G32" i="95"/>
  <c r="BE32" i="95" s="1"/>
  <c r="H32" i="95"/>
  <c r="I32" i="95"/>
  <c r="J32" i="95"/>
  <c r="K32" i="95"/>
  <c r="Z32" i="95"/>
  <c r="B33" i="95"/>
  <c r="G33" i="95"/>
  <c r="BE33" i="95" s="1"/>
  <c r="H33" i="95"/>
  <c r="I33" i="95"/>
  <c r="J33" i="95"/>
  <c r="K33" i="95"/>
  <c r="Z33" i="95"/>
  <c r="B34" i="95"/>
  <c r="G34" i="95"/>
  <c r="BE34" i="95" s="1"/>
  <c r="H34" i="95"/>
  <c r="I34" i="95"/>
  <c r="J34" i="95"/>
  <c r="K34" i="95"/>
  <c r="Z34" i="95"/>
  <c r="B35" i="95"/>
  <c r="G35" i="95"/>
  <c r="BE35" i="95" s="1"/>
  <c r="H35" i="95"/>
  <c r="I35" i="95"/>
  <c r="J35" i="95"/>
  <c r="K35" i="95"/>
  <c r="Z35" i="95"/>
  <c r="B36" i="95"/>
  <c r="G36" i="95"/>
  <c r="BE36" i="95" s="1"/>
  <c r="H36" i="95"/>
  <c r="I36" i="95"/>
  <c r="J36" i="95"/>
  <c r="K36" i="95"/>
  <c r="Z36" i="95"/>
  <c r="B37" i="95"/>
  <c r="G37" i="95"/>
  <c r="BE37" i="95" s="1"/>
  <c r="H37" i="95"/>
  <c r="I37" i="95"/>
  <c r="J37" i="95"/>
  <c r="K37" i="95"/>
  <c r="Z37" i="95"/>
  <c r="B38" i="95"/>
  <c r="G38" i="95"/>
  <c r="BE38" i="95" s="1"/>
  <c r="H38" i="95"/>
  <c r="I38" i="95"/>
  <c r="J38" i="95"/>
  <c r="K38" i="95"/>
  <c r="Z38" i="95"/>
  <c r="B39" i="95"/>
  <c r="G39" i="95"/>
  <c r="BE39" i="95" s="1"/>
  <c r="H39" i="95"/>
  <c r="I39" i="95"/>
  <c r="J39" i="95"/>
  <c r="K39" i="95"/>
  <c r="Z39" i="95"/>
  <c r="B40" i="95"/>
  <c r="G40" i="95"/>
  <c r="BE40" i="95" s="1"/>
  <c r="H40" i="95"/>
  <c r="I40" i="95"/>
  <c r="J40" i="95"/>
  <c r="K40" i="95"/>
  <c r="Z40" i="95"/>
  <c r="B41" i="95"/>
  <c r="G41" i="95"/>
  <c r="BE41" i="95" s="1"/>
  <c r="H41" i="95"/>
  <c r="I41" i="95"/>
  <c r="J41" i="95"/>
  <c r="K41" i="95"/>
  <c r="Z41" i="95"/>
  <c r="B42" i="95"/>
  <c r="G42" i="95"/>
  <c r="BE42" i="95" s="1"/>
  <c r="H42" i="95"/>
  <c r="I42" i="95"/>
  <c r="J42" i="95"/>
  <c r="K42" i="95"/>
  <c r="Z42" i="95"/>
  <c r="B43" i="95"/>
  <c r="G43" i="95"/>
  <c r="BE43" i="95" s="1"/>
  <c r="H43" i="95"/>
  <c r="I43" i="95"/>
  <c r="J43" i="95"/>
  <c r="K43" i="95"/>
  <c r="Z43" i="95"/>
  <c r="B44" i="95"/>
  <c r="G44" i="95"/>
  <c r="BE44" i="95" s="1"/>
  <c r="H44" i="95"/>
  <c r="I44" i="95"/>
  <c r="J44" i="95"/>
  <c r="K44" i="95"/>
  <c r="Z44" i="95"/>
  <c r="B45" i="95"/>
  <c r="G45" i="95"/>
  <c r="BE45" i="95" s="1"/>
  <c r="H45" i="95"/>
  <c r="I45" i="95"/>
  <c r="J45" i="95"/>
  <c r="K45" i="95"/>
  <c r="Z45" i="95"/>
  <c r="B46" i="95"/>
  <c r="G46" i="95"/>
  <c r="BE46" i="95" s="1"/>
  <c r="H46" i="95"/>
  <c r="I46" i="95"/>
  <c r="J46" i="95"/>
  <c r="K46" i="95"/>
  <c r="Z46" i="95"/>
  <c r="B47" i="95"/>
  <c r="G47" i="95"/>
  <c r="BE47" i="95" s="1"/>
  <c r="H47" i="95"/>
  <c r="I47" i="95"/>
  <c r="J47" i="95"/>
  <c r="K47" i="95"/>
  <c r="Z47" i="95"/>
  <c r="B48" i="95"/>
  <c r="G48" i="95"/>
  <c r="BE48" i="95" s="1"/>
  <c r="H48" i="95"/>
  <c r="I48" i="95"/>
  <c r="J48" i="95"/>
  <c r="K48" i="95"/>
  <c r="Z48" i="95"/>
  <c r="B49" i="95"/>
  <c r="G49" i="95"/>
  <c r="BE49" i="95" s="1"/>
  <c r="H49" i="95"/>
  <c r="I49" i="95"/>
  <c r="J49" i="95"/>
  <c r="K49" i="95"/>
  <c r="Z49" i="95"/>
  <c r="B50" i="95"/>
  <c r="G50" i="95"/>
  <c r="BE50" i="95" s="1"/>
  <c r="H50" i="95"/>
  <c r="I50" i="95"/>
  <c r="J50" i="95"/>
  <c r="K50" i="95"/>
  <c r="Z50" i="95"/>
  <c r="B51" i="95"/>
  <c r="G51" i="95"/>
  <c r="BE51" i="95" s="1"/>
  <c r="H51" i="95"/>
  <c r="I51" i="95"/>
  <c r="J51" i="95"/>
  <c r="K51" i="95"/>
  <c r="Z51" i="95"/>
  <c r="B52" i="95"/>
  <c r="G52" i="95"/>
  <c r="BE52" i="95" s="1"/>
  <c r="H52" i="95"/>
  <c r="I52" i="95"/>
  <c r="J52" i="95"/>
  <c r="K52" i="95"/>
  <c r="Z52" i="95"/>
  <c r="B53" i="95"/>
  <c r="G53" i="95"/>
  <c r="BE53" i="95" s="1"/>
  <c r="H53" i="95"/>
  <c r="I53" i="95"/>
  <c r="J53" i="95"/>
  <c r="K53" i="95"/>
  <c r="Z53" i="95"/>
  <c r="B54" i="95"/>
  <c r="G54" i="95"/>
  <c r="BE54" i="95" s="1"/>
  <c r="H54" i="95"/>
  <c r="I54" i="95"/>
  <c r="J54" i="95"/>
  <c r="K54" i="95"/>
  <c r="Z54" i="95"/>
  <c r="B55" i="95"/>
  <c r="G55" i="95"/>
  <c r="BE55" i="95" s="1"/>
  <c r="H55" i="95"/>
  <c r="I55" i="95"/>
  <c r="J55" i="95"/>
  <c r="K55" i="95"/>
  <c r="Z55" i="95"/>
  <c r="B56" i="95"/>
  <c r="G56" i="95"/>
  <c r="BE56" i="95" s="1"/>
  <c r="H56" i="95"/>
  <c r="I56" i="95"/>
  <c r="J56" i="95"/>
  <c r="K56" i="95"/>
  <c r="Z56" i="95"/>
  <c r="B57" i="95"/>
  <c r="G57" i="95"/>
  <c r="BE57" i="95" s="1"/>
  <c r="H57" i="95"/>
  <c r="I57" i="95"/>
  <c r="J57" i="95"/>
  <c r="K57" i="95"/>
  <c r="Z57" i="95"/>
  <c r="B58" i="95"/>
  <c r="G58" i="95"/>
  <c r="BE58" i="95" s="1"/>
  <c r="H58" i="95"/>
  <c r="I58" i="95"/>
  <c r="J58" i="95"/>
  <c r="K58" i="95"/>
  <c r="Z58" i="95"/>
  <c r="B59" i="95"/>
  <c r="G59" i="95"/>
  <c r="BE59" i="95" s="1"/>
  <c r="H59" i="95"/>
  <c r="I59" i="95"/>
  <c r="J59" i="95"/>
  <c r="K59" i="95"/>
  <c r="Z59" i="95"/>
  <c r="B60" i="95"/>
  <c r="G60" i="95"/>
  <c r="BE60" i="95" s="1"/>
  <c r="H60" i="95"/>
  <c r="I60" i="95"/>
  <c r="J60" i="95"/>
  <c r="K60" i="95"/>
  <c r="Z60" i="95"/>
  <c r="B61" i="95"/>
  <c r="G61" i="95"/>
  <c r="BE61" i="95" s="1"/>
  <c r="H61" i="95"/>
  <c r="I61" i="95"/>
  <c r="J61" i="95"/>
  <c r="K61" i="95"/>
  <c r="Z61" i="95"/>
  <c r="B62" i="95"/>
  <c r="G62" i="95"/>
  <c r="BE62" i="95" s="1"/>
  <c r="H62" i="95"/>
  <c r="I62" i="95"/>
  <c r="J62" i="95"/>
  <c r="K62" i="95"/>
  <c r="Z62" i="95"/>
  <c r="B63" i="95"/>
  <c r="G63" i="95"/>
  <c r="BE63" i="95" s="1"/>
  <c r="H63" i="95"/>
  <c r="I63" i="95"/>
  <c r="J63" i="95"/>
  <c r="K63" i="95"/>
  <c r="Z63" i="95"/>
  <c r="B64" i="95"/>
  <c r="G64" i="95"/>
  <c r="BE64" i="95" s="1"/>
  <c r="H64" i="95"/>
  <c r="I64" i="95"/>
  <c r="J64" i="95"/>
  <c r="K64" i="95"/>
  <c r="Z64" i="95"/>
  <c r="B65" i="95"/>
  <c r="G65" i="95"/>
  <c r="BE65" i="95" s="1"/>
  <c r="H65" i="95"/>
  <c r="I65" i="95"/>
  <c r="J65" i="95"/>
  <c r="K65" i="95"/>
  <c r="Z65" i="95"/>
  <c r="B66" i="95"/>
  <c r="G66" i="95"/>
  <c r="BE66" i="95" s="1"/>
  <c r="H66" i="95"/>
  <c r="I66" i="95"/>
  <c r="J66" i="95"/>
  <c r="K66" i="95"/>
  <c r="Z66" i="95"/>
  <c r="B67" i="95"/>
  <c r="G67" i="95"/>
  <c r="BE67" i="95" s="1"/>
  <c r="H67" i="95"/>
  <c r="I67" i="95"/>
  <c r="J67" i="95"/>
  <c r="K67" i="95"/>
  <c r="Z67" i="95"/>
  <c r="B68" i="95"/>
  <c r="G68" i="95"/>
  <c r="BE68" i="95" s="1"/>
  <c r="H68" i="95"/>
  <c r="I68" i="95"/>
  <c r="J68" i="95"/>
  <c r="K68" i="95"/>
  <c r="Z68" i="95"/>
  <c r="B69" i="95"/>
  <c r="G69" i="95"/>
  <c r="BE69" i="95" s="1"/>
  <c r="H69" i="95"/>
  <c r="I69" i="95"/>
  <c r="J69" i="95"/>
  <c r="K69" i="95"/>
  <c r="Z69" i="95"/>
  <c r="B70" i="95"/>
  <c r="G70" i="95"/>
  <c r="BE70" i="95" s="1"/>
  <c r="H70" i="95"/>
  <c r="I70" i="95"/>
  <c r="J70" i="95"/>
  <c r="K70" i="95"/>
  <c r="Z70" i="95"/>
  <c r="B71" i="95"/>
  <c r="G71" i="95"/>
  <c r="BE71" i="95" s="1"/>
  <c r="H71" i="95"/>
  <c r="I71" i="95"/>
  <c r="J71" i="95"/>
  <c r="K71" i="95"/>
  <c r="Z71" i="95"/>
  <c r="B72" i="95"/>
  <c r="G72" i="95"/>
  <c r="BE72" i="95" s="1"/>
  <c r="H72" i="95"/>
  <c r="I72" i="95"/>
  <c r="J72" i="95"/>
  <c r="K72" i="95"/>
  <c r="Z72" i="95"/>
  <c r="B73" i="95"/>
  <c r="G73" i="95"/>
  <c r="BE73" i="95" s="1"/>
  <c r="H73" i="95"/>
  <c r="I73" i="95"/>
  <c r="J73" i="95"/>
  <c r="K73" i="95"/>
  <c r="Z73" i="95"/>
  <c r="B74" i="95"/>
  <c r="G74" i="95"/>
  <c r="BE74" i="95" s="1"/>
  <c r="H74" i="95"/>
  <c r="I74" i="95"/>
  <c r="J74" i="95"/>
  <c r="K74" i="95"/>
  <c r="Z74" i="95"/>
  <c r="B75" i="95"/>
  <c r="G75" i="95"/>
  <c r="BE75" i="95" s="1"/>
  <c r="H75" i="95"/>
  <c r="I75" i="95"/>
  <c r="J75" i="95"/>
  <c r="K75" i="95"/>
  <c r="Z75" i="95"/>
  <c r="B76" i="95"/>
  <c r="G76" i="95"/>
  <c r="BE76" i="95" s="1"/>
  <c r="H76" i="95"/>
  <c r="I76" i="95"/>
  <c r="J76" i="95"/>
  <c r="K76" i="95"/>
  <c r="Z76" i="95"/>
  <c r="B77" i="95"/>
  <c r="G77" i="95"/>
  <c r="BE77" i="95" s="1"/>
  <c r="H77" i="95"/>
  <c r="I77" i="95"/>
  <c r="J77" i="95"/>
  <c r="K77" i="95"/>
  <c r="Z77" i="95"/>
  <c r="B78" i="95"/>
  <c r="G78" i="95"/>
  <c r="BE78" i="95" s="1"/>
  <c r="H78" i="95"/>
  <c r="I78" i="95"/>
  <c r="J78" i="95"/>
  <c r="K78" i="95"/>
  <c r="Z78" i="95"/>
  <c r="B79" i="95"/>
  <c r="G79" i="95"/>
  <c r="BE79" i="95" s="1"/>
  <c r="H79" i="95"/>
  <c r="I79" i="95"/>
  <c r="J79" i="95"/>
  <c r="K79" i="95"/>
  <c r="Z79" i="95"/>
  <c r="B80" i="95"/>
  <c r="G80" i="95"/>
  <c r="BE80" i="95" s="1"/>
  <c r="H80" i="95"/>
  <c r="I80" i="95"/>
  <c r="J80" i="95"/>
  <c r="K80" i="95"/>
  <c r="Z80" i="95"/>
  <c r="B81" i="95"/>
  <c r="G81" i="95"/>
  <c r="BE81" i="95" s="1"/>
  <c r="H81" i="95"/>
  <c r="I81" i="95"/>
  <c r="J81" i="95"/>
  <c r="K81" i="95"/>
  <c r="Z81" i="95"/>
  <c r="B82" i="95"/>
  <c r="G82" i="95"/>
  <c r="BE82" i="95" s="1"/>
  <c r="H82" i="95"/>
  <c r="I82" i="95"/>
  <c r="J82" i="95"/>
  <c r="K82" i="95"/>
  <c r="Z82" i="95"/>
  <c r="B83" i="95"/>
  <c r="G83" i="95"/>
  <c r="BE83" i="95" s="1"/>
  <c r="H83" i="95"/>
  <c r="I83" i="95"/>
  <c r="J83" i="95"/>
  <c r="K83" i="95"/>
  <c r="Z83" i="95"/>
  <c r="B84" i="95"/>
  <c r="G84" i="95"/>
  <c r="BE84" i="95" s="1"/>
  <c r="H84" i="95"/>
  <c r="I84" i="95"/>
  <c r="J84" i="95"/>
  <c r="K84" i="95"/>
  <c r="Z84" i="95"/>
  <c r="B85" i="95"/>
  <c r="G85" i="95"/>
  <c r="BE85" i="95" s="1"/>
  <c r="H85" i="95"/>
  <c r="I85" i="95"/>
  <c r="J85" i="95"/>
  <c r="K85" i="95"/>
  <c r="Z85" i="95"/>
  <c r="B86" i="95"/>
  <c r="G86" i="95"/>
  <c r="BE86" i="95" s="1"/>
  <c r="H86" i="95"/>
  <c r="I86" i="95"/>
  <c r="J86" i="95"/>
  <c r="K86" i="95"/>
  <c r="Z86" i="95"/>
  <c r="B87" i="95"/>
  <c r="G87" i="95"/>
  <c r="BE87" i="95" s="1"/>
  <c r="H87" i="95"/>
  <c r="I87" i="95"/>
  <c r="J87" i="95"/>
  <c r="K87" i="95"/>
  <c r="Z87" i="95"/>
  <c r="B88" i="95"/>
  <c r="G88" i="95"/>
  <c r="BE88" i="95" s="1"/>
  <c r="H88" i="95"/>
  <c r="I88" i="95"/>
  <c r="J88" i="95"/>
  <c r="K88" i="95"/>
  <c r="Z88" i="95"/>
  <c r="B89" i="95"/>
  <c r="G89" i="95"/>
  <c r="BE89" i="95" s="1"/>
  <c r="H89" i="95"/>
  <c r="I89" i="95"/>
  <c r="J89" i="95"/>
  <c r="K89" i="95"/>
  <c r="Z89" i="95"/>
  <c r="B90" i="95"/>
  <c r="G90" i="95"/>
  <c r="BE90" i="95" s="1"/>
  <c r="H90" i="95"/>
  <c r="I90" i="95"/>
  <c r="J90" i="95"/>
  <c r="K90" i="95"/>
  <c r="Z90" i="95"/>
  <c r="B91" i="95"/>
  <c r="G91" i="95"/>
  <c r="BE91" i="95" s="1"/>
  <c r="H91" i="95"/>
  <c r="I91" i="95"/>
  <c r="J91" i="95"/>
  <c r="K91" i="95"/>
  <c r="Z91" i="95"/>
  <c r="B92" i="95"/>
  <c r="G92" i="95"/>
  <c r="BE92" i="95" s="1"/>
  <c r="H92" i="95"/>
  <c r="I92" i="95"/>
  <c r="J92" i="95"/>
  <c r="K92" i="95"/>
  <c r="Z92" i="95"/>
  <c r="B93" i="95"/>
  <c r="G93" i="95"/>
  <c r="BE93" i="95" s="1"/>
  <c r="H93" i="95"/>
  <c r="I93" i="95"/>
  <c r="J93" i="95"/>
  <c r="K93" i="95"/>
  <c r="Z93" i="95"/>
  <c r="B94" i="95"/>
  <c r="G94" i="95"/>
  <c r="BE94" i="95" s="1"/>
  <c r="H94" i="95"/>
  <c r="I94" i="95"/>
  <c r="J94" i="95"/>
  <c r="K94" i="95"/>
  <c r="Z94" i="95"/>
  <c r="B95" i="95"/>
  <c r="G95" i="95"/>
  <c r="BE95" i="95" s="1"/>
  <c r="H95" i="95"/>
  <c r="I95" i="95"/>
  <c r="J95" i="95"/>
  <c r="K95" i="95"/>
  <c r="Z95" i="95"/>
  <c r="B96" i="95"/>
  <c r="G96" i="95"/>
  <c r="BE96" i="95" s="1"/>
  <c r="H96" i="95"/>
  <c r="I96" i="95"/>
  <c r="J96" i="95"/>
  <c r="K96" i="95"/>
  <c r="Z96" i="95"/>
  <c r="B97" i="95"/>
  <c r="G97" i="95"/>
  <c r="BE97" i="95" s="1"/>
  <c r="H97" i="95"/>
  <c r="I97" i="95"/>
  <c r="J97" i="95"/>
  <c r="K97" i="95"/>
  <c r="Z97" i="95"/>
  <c r="B98" i="95"/>
  <c r="G98" i="95"/>
  <c r="BE98" i="95" s="1"/>
  <c r="H98" i="95"/>
  <c r="I98" i="95"/>
  <c r="J98" i="95"/>
  <c r="K98" i="95"/>
  <c r="Z98" i="95"/>
  <c r="B99" i="95"/>
  <c r="G99" i="95"/>
  <c r="BE99" i="95" s="1"/>
  <c r="H99" i="95"/>
  <c r="I99" i="95"/>
  <c r="J99" i="95"/>
  <c r="K99" i="95"/>
  <c r="Z99" i="95"/>
  <c r="B100" i="95"/>
  <c r="G100" i="95"/>
  <c r="BE100" i="95" s="1"/>
  <c r="H100" i="95"/>
  <c r="I100" i="95"/>
  <c r="J100" i="95"/>
  <c r="K100" i="95"/>
  <c r="Z100" i="95"/>
  <c r="B101" i="95"/>
  <c r="G101" i="95"/>
  <c r="BE101" i="95" s="1"/>
  <c r="H101" i="95"/>
  <c r="I101" i="95"/>
  <c r="J101" i="95"/>
  <c r="K101" i="95"/>
  <c r="Z101" i="95"/>
  <c r="B102" i="95"/>
  <c r="G102" i="95"/>
  <c r="BE102" i="95" s="1"/>
  <c r="H102" i="95"/>
  <c r="I102" i="95"/>
  <c r="J102" i="95"/>
  <c r="K102" i="95"/>
  <c r="Z102" i="95"/>
  <c r="B103" i="95"/>
  <c r="G103" i="95"/>
  <c r="BE103" i="95" s="1"/>
  <c r="H103" i="95"/>
  <c r="I103" i="95"/>
  <c r="J103" i="95"/>
  <c r="K103" i="95"/>
  <c r="Z103" i="95"/>
  <c r="B104" i="95"/>
  <c r="G104" i="95"/>
  <c r="BE104" i="95" s="1"/>
  <c r="H104" i="95"/>
  <c r="I104" i="95"/>
  <c r="J104" i="95"/>
  <c r="K104" i="95"/>
  <c r="Z104" i="95"/>
  <c r="B105" i="95"/>
  <c r="G105" i="95"/>
  <c r="BE105" i="95" s="1"/>
  <c r="H105" i="95"/>
  <c r="I105" i="95"/>
  <c r="J105" i="95"/>
  <c r="K105" i="95"/>
  <c r="Z105" i="95"/>
  <c r="B106" i="95"/>
  <c r="G106" i="95"/>
  <c r="BE106" i="95" s="1"/>
  <c r="H106" i="95"/>
  <c r="I106" i="95"/>
  <c r="J106" i="95"/>
  <c r="K106" i="95"/>
  <c r="Z106" i="95"/>
  <c r="B107" i="95"/>
  <c r="G107" i="95"/>
  <c r="BE107" i="95" s="1"/>
  <c r="H107" i="95"/>
  <c r="I107" i="95"/>
  <c r="J107" i="95"/>
  <c r="K107" i="95"/>
  <c r="Z107" i="95"/>
  <c r="B108" i="95"/>
  <c r="G108" i="95"/>
  <c r="BE108" i="95" s="1"/>
  <c r="H108" i="95"/>
  <c r="I108" i="95"/>
  <c r="J108" i="95"/>
  <c r="K108" i="95"/>
  <c r="Z108" i="95"/>
  <c r="B109" i="95"/>
  <c r="G109" i="95"/>
  <c r="BE109" i="95" s="1"/>
  <c r="H109" i="95"/>
  <c r="I109" i="95"/>
  <c r="J109" i="95"/>
  <c r="K109" i="95"/>
  <c r="Z109" i="95"/>
  <c r="B110" i="95"/>
  <c r="G110" i="95"/>
  <c r="BE110" i="95" s="1"/>
  <c r="H110" i="95"/>
  <c r="I110" i="95"/>
  <c r="J110" i="95"/>
  <c r="K110" i="95"/>
  <c r="Z110" i="95"/>
  <c r="G111" i="95"/>
  <c r="BE111" i="95" s="1"/>
  <c r="H111" i="95"/>
  <c r="I111" i="95"/>
  <c r="J111" i="95"/>
  <c r="K111" i="95"/>
  <c r="Z111" i="95"/>
  <c r="B13" i="95"/>
  <c r="G13" i="95"/>
  <c r="BE13" i="95" s="1"/>
  <c r="H13" i="95"/>
  <c r="I13" i="95"/>
  <c r="J13" i="95"/>
  <c r="BH16" i="95" l="1"/>
  <c r="AN16" i="95"/>
  <c r="BJ12" i="99"/>
  <c r="AJ9" i="99" s="1"/>
  <c r="AX108" i="95"/>
  <c r="BH108" i="95"/>
  <c r="AX100" i="95"/>
  <c r="BH100" i="95"/>
  <c r="AX92" i="95"/>
  <c r="BH92" i="95"/>
  <c r="AX84" i="95"/>
  <c r="BH84" i="95"/>
  <c r="AX76" i="95"/>
  <c r="BH76" i="95"/>
  <c r="AX68" i="95"/>
  <c r="BH68" i="95"/>
  <c r="AX60" i="95"/>
  <c r="BH60" i="95"/>
  <c r="AX52" i="95"/>
  <c r="BH52" i="95"/>
  <c r="AX44" i="95"/>
  <c r="BH44" i="95"/>
  <c r="AX36" i="95"/>
  <c r="BH36" i="95"/>
  <c r="AX28" i="95"/>
  <c r="BH28" i="95"/>
  <c r="AX101" i="95"/>
  <c r="BH101" i="95"/>
  <c r="AX93" i="95"/>
  <c r="BH93" i="95"/>
  <c r="AX85" i="95"/>
  <c r="BH85" i="95"/>
  <c r="AX77" i="95"/>
  <c r="BH77" i="95"/>
  <c r="AX69" i="95"/>
  <c r="BH69" i="95"/>
  <c r="AX61" i="95"/>
  <c r="BH61" i="95"/>
  <c r="AX53" i="95"/>
  <c r="BH53" i="95"/>
  <c r="AX45" i="95"/>
  <c r="BH45" i="95"/>
  <c r="AX37" i="95"/>
  <c r="BH37" i="95"/>
  <c r="AX29" i="95"/>
  <c r="BH29" i="95"/>
  <c r="AX109" i="95"/>
  <c r="BH109" i="95"/>
  <c r="AX102" i="95"/>
  <c r="BH102" i="95"/>
  <c r="AX94" i="95"/>
  <c r="BH94" i="95"/>
  <c r="AX86" i="95"/>
  <c r="BH86" i="95"/>
  <c r="AX78" i="95"/>
  <c r="BH78" i="95"/>
  <c r="AX70" i="95"/>
  <c r="BH70" i="95"/>
  <c r="AX62" i="95"/>
  <c r="BH62" i="95"/>
  <c r="AX54" i="95"/>
  <c r="BH54" i="95"/>
  <c r="AX46" i="95"/>
  <c r="BH46" i="95"/>
  <c r="AX38" i="95"/>
  <c r="BH38" i="95"/>
  <c r="AX30" i="95"/>
  <c r="BH30" i="95"/>
  <c r="AX103" i="95"/>
  <c r="BH103" i="95"/>
  <c r="AX95" i="95"/>
  <c r="BH95" i="95"/>
  <c r="AX87" i="95"/>
  <c r="BH87" i="95"/>
  <c r="AX79" i="95"/>
  <c r="BH79" i="95"/>
  <c r="AX71" i="95"/>
  <c r="BH71" i="95"/>
  <c r="AX63" i="95"/>
  <c r="BH63" i="95"/>
  <c r="AX55" i="95"/>
  <c r="BH55" i="95"/>
  <c r="AX47" i="95"/>
  <c r="BH47" i="95"/>
  <c r="AX39" i="95"/>
  <c r="BH39" i="95"/>
  <c r="AX31" i="95"/>
  <c r="BH31" i="95"/>
  <c r="AX110" i="95"/>
  <c r="BH110" i="95"/>
  <c r="AX104" i="95"/>
  <c r="BH104" i="95"/>
  <c r="AX96" i="95"/>
  <c r="BH96" i="95"/>
  <c r="AX88" i="95"/>
  <c r="BH88" i="95"/>
  <c r="AX80" i="95"/>
  <c r="BH80" i="95"/>
  <c r="AX72" i="95"/>
  <c r="BH72" i="95"/>
  <c r="AX64" i="95"/>
  <c r="BH64" i="95"/>
  <c r="AX56" i="95"/>
  <c r="BH56" i="95"/>
  <c r="AX48" i="95"/>
  <c r="BH48" i="95"/>
  <c r="AX40" i="95"/>
  <c r="BH40" i="95"/>
  <c r="AX32" i="95"/>
  <c r="BH32" i="95"/>
  <c r="AX24" i="95"/>
  <c r="BH24" i="95"/>
  <c r="AX111" i="95"/>
  <c r="BH111" i="95"/>
  <c r="AX105" i="95"/>
  <c r="BH105" i="95"/>
  <c r="AX97" i="95"/>
  <c r="BH97" i="95"/>
  <c r="AX89" i="95"/>
  <c r="BH89" i="95"/>
  <c r="AX81" i="95"/>
  <c r="BH81" i="95"/>
  <c r="AX73" i="95"/>
  <c r="BH73" i="95"/>
  <c r="AX65" i="95"/>
  <c r="BH65" i="95"/>
  <c r="AX57" i="95"/>
  <c r="BH57" i="95"/>
  <c r="AX49" i="95"/>
  <c r="BH49" i="95"/>
  <c r="AX41" i="95"/>
  <c r="BH41" i="95"/>
  <c r="AX33" i="95"/>
  <c r="BH33" i="95"/>
  <c r="AX25" i="95"/>
  <c r="BH25" i="95"/>
  <c r="AX106" i="95"/>
  <c r="BH106" i="95"/>
  <c r="AX98" i="95"/>
  <c r="BH98" i="95"/>
  <c r="AX90" i="95"/>
  <c r="BH90" i="95"/>
  <c r="AX82" i="95"/>
  <c r="BH82" i="95"/>
  <c r="AX74" i="95"/>
  <c r="BH74" i="95"/>
  <c r="AX66" i="95"/>
  <c r="BH66" i="95"/>
  <c r="AX58" i="95"/>
  <c r="BH58" i="95"/>
  <c r="AX50" i="95"/>
  <c r="BH50" i="95"/>
  <c r="AX42" i="95"/>
  <c r="BH42" i="95"/>
  <c r="AX34" i="95"/>
  <c r="BH34" i="95"/>
  <c r="AX26" i="95"/>
  <c r="BH26" i="95"/>
  <c r="AX107" i="95"/>
  <c r="BH107" i="95"/>
  <c r="AX99" i="95"/>
  <c r="BH99" i="95"/>
  <c r="AX91" i="95"/>
  <c r="BH91" i="95"/>
  <c r="AX83" i="95"/>
  <c r="BH83" i="95"/>
  <c r="AX75" i="95"/>
  <c r="BH75" i="95"/>
  <c r="AX67" i="95"/>
  <c r="BH67" i="95"/>
  <c r="AX59" i="95"/>
  <c r="BH59" i="95"/>
  <c r="AX51" i="95"/>
  <c r="BH51" i="95"/>
  <c r="AX43" i="95"/>
  <c r="BH43" i="95"/>
  <c r="AX35" i="95"/>
  <c r="BH35" i="95"/>
  <c r="AX27" i="95"/>
  <c r="BH27" i="95"/>
  <c r="BA49" i="95"/>
  <c r="BA107" i="95"/>
  <c r="BA108" i="95"/>
  <c r="BA20" i="95"/>
  <c r="AX20" i="95"/>
  <c r="BA51" i="95"/>
  <c r="BA100" i="95"/>
  <c r="BA92" i="95"/>
  <c r="BA84" i="95"/>
  <c r="BA36" i="95"/>
  <c r="BA28" i="95"/>
  <c r="BA109" i="95"/>
  <c r="BA101" i="95"/>
  <c r="BA93" i="95"/>
  <c r="BA85" i="95"/>
  <c r="BA77" i="95"/>
  <c r="BA69" i="95"/>
  <c r="BA61" i="95"/>
  <c r="BA53" i="95"/>
  <c r="BA45" i="95"/>
  <c r="BA37" i="95"/>
  <c r="BA29" i="95"/>
  <c r="BA21" i="95"/>
  <c r="AX21" i="95"/>
  <c r="BA68" i="95"/>
  <c r="BA44" i="95"/>
  <c r="BA86" i="95"/>
  <c r="BA78" i="95"/>
  <c r="BA70" i="95"/>
  <c r="BA62" i="95"/>
  <c r="BA54" i="95"/>
  <c r="BA46" i="95"/>
  <c r="BA38" i="95"/>
  <c r="BA30" i="95"/>
  <c r="BA22" i="95"/>
  <c r="AX22" i="95"/>
  <c r="BA75" i="95"/>
  <c r="BA67" i="95"/>
  <c r="BA27" i="95"/>
  <c r="BA60" i="95"/>
  <c r="BA102" i="95"/>
  <c r="BA94" i="95"/>
  <c r="BA103" i="95"/>
  <c r="BA95" i="95"/>
  <c r="BA87" i="95"/>
  <c r="BA79" i="95"/>
  <c r="BA71" i="95"/>
  <c r="BA63" i="95"/>
  <c r="BA55" i="95"/>
  <c r="BA47" i="95"/>
  <c r="BA39" i="95"/>
  <c r="BA31" i="95"/>
  <c r="BA23" i="95"/>
  <c r="AX23" i="95"/>
  <c r="AX16" i="95"/>
  <c r="BA16" i="95"/>
  <c r="AX19" i="95"/>
  <c r="BA19" i="95"/>
  <c r="BA76" i="95"/>
  <c r="BA52" i="95"/>
  <c r="BA111" i="95"/>
  <c r="BA104" i="95"/>
  <c r="BA96" i="95"/>
  <c r="BA88" i="95"/>
  <c r="BA80" i="95"/>
  <c r="BA72" i="95"/>
  <c r="BA64" i="95"/>
  <c r="BA56" i="95"/>
  <c r="BA48" i="95"/>
  <c r="BA40" i="95"/>
  <c r="BA32" i="95"/>
  <c r="BA24" i="95"/>
  <c r="BA105" i="95"/>
  <c r="BA97" i="95"/>
  <c r="BA89" i="95"/>
  <c r="BA81" i="95"/>
  <c r="BA73" i="95"/>
  <c r="BA65" i="95"/>
  <c r="BA57" i="95"/>
  <c r="BA41" i="95"/>
  <c r="BA33" i="95"/>
  <c r="BA25" i="95"/>
  <c r="BA99" i="95"/>
  <c r="BA91" i="95"/>
  <c r="BA83" i="95"/>
  <c r="BA59" i="95"/>
  <c r="BA43" i="95"/>
  <c r="BA35" i="95"/>
  <c r="BA110" i="95"/>
  <c r="BA106" i="95"/>
  <c r="BA98" i="95"/>
  <c r="BA90" i="95"/>
  <c r="BA82" i="95"/>
  <c r="BA74" i="95"/>
  <c r="BA66" i="95"/>
  <c r="BA58" i="95"/>
  <c r="BA50" i="95"/>
  <c r="BA42" i="95"/>
  <c r="BA34" i="95"/>
  <c r="BA26" i="95"/>
  <c r="AX18" i="95"/>
  <c r="BA18" i="95"/>
  <c r="BB16" i="99"/>
  <c r="BB55" i="99"/>
  <c r="BB17" i="99"/>
  <c r="BB12" i="99"/>
  <c r="BH109" i="99"/>
  <c r="BH13" i="99"/>
  <c r="BH63" i="99"/>
  <c r="BH74" i="99"/>
  <c r="BH58" i="99"/>
  <c r="BH14" i="99"/>
  <c r="BH89" i="99"/>
  <c r="BH48" i="99"/>
  <c r="BH106" i="99"/>
  <c r="BH29" i="99"/>
  <c r="BH38" i="99"/>
  <c r="BH108" i="99"/>
  <c r="BH67" i="99"/>
  <c r="BH16" i="99"/>
  <c r="BH57" i="99"/>
  <c r="BH60" i="99"/>
  <c r="BH47" i="99"/>
  <c r="BH26" i="99"/>
  <c r="BH59" i="99"/>
  <c r="BH12" i="99"/>
  <c r="AG9" i="99"/>
  <c r="BB13" i="99"/>
  <c r="O49" i="95"/>
  <c r="O41" i="95"/>
  <c r="O33" i="95"/>
  <c r="O25" i="95"/>
  <c r="O17" i="95"/>
  <c r="O106" i="95"/>
  <c r="O98" i="95"/>
  <c r="O90" i="95"/>
  <c r="O82" i="95"/>
  <c r="O74" i="95"/>
  <c r="O66" i="95"/>
  <c r="O58" i="95"/>
  <c r="O50" i="95"/>
  <c r="O42" i="95"/>
  <c r="O34" i="95"/>
  <c r="O26" i="95"/>
  <c r="O18" i="95"/>
  <c r="O13" i="95"/>
  <c r="O105" i="95"/>
  <c r="O97" i="95"/>
  <c r="O107" i="95"/>
  <c r="O43" i="95"/>
  <c r="O108" i="95"/>
  <c r="O68" i="95"/>
  <c r="O60" i="95"/>
  <c r="O109" i="95"/>
  <c r="O101" i="95"/>
  <c r="O93" i="95"/>
  <c r="O85" i="95"/>
  <c r="O77" i="95"/>
  <c r="O69" i="95"/>
  <c r="O61" i="95"/>
  <c r="O53" i="95"/>
  <c r="O45" i="95"/>
  <c r="O37" i="95"/>
  <c r="O29" i="95"/>
  <c r="O21" i="95"/>
  <c r="O65" i="95"/>
  <c r="O57" i="95"/>
  <c r="O59" i="95"/>
  <c r="O51" i="95"/>
  <c r="O19" i="95"/>
  <c r="O110" i="95"/>
  <c r="O102" i="95"/>
  <c r="O94" i="95"/>
  <c r="O86" i="95"/>
  <c r="O78" i="95"/>
  <c r="O70" i="95"/>
  <c r="O62" i="95"/>
  <c r="O54" i="95"/>
  <c r="O46" i="95"/>
  <c r="O38" i="95"/>
  <c r="O30" i="95"/>
  <c r="O22" i="95"/>
  <c r="O81" i="95"/>
  <c r="O73" i="95"/>
  <c r="O91" i="95"/>
  <c r="O83" i="95"/>
  <c r="O75" i="95"/>
  <c r="O52" i="95"/>
  <c r="O111" i="95"/>
  <c r="O103" i="95"/>
  <c r="O95" i="95"/>
  <c r="O87" i="95"/>
  <c r="O79" i="95"/>
  <c r="O71" i="95"/>
  <c r="O63" i="95"/>
  <c r="O55" i="95"/>
  <c r="O47" i="95"/>
  <c r="O39" i="95"/>
  <c r="O31" i="95"/>
  <c r="O23" i="95"/>
  <c r="O14" i="95"/>
  <c r="O89" i="95"/>
  <c r="O35" i="95"/>
  <c r="O27" i="95"/>
  <c r="O100" i="95"/>
  <c r="O92" i="95"/>
  <c r="O84" i="95"/>
  <c r="O76" i="95"/>
  <c r="O44" i="95"/>
  <c r="O36" i="95"/>
  <c r="O28" i="95"/>
  <c r="O20" i="95"/>
  <c r="O104" i="95"/>
  <c r="O96" i="95"/>
  <c r="O88" i="95"/>
  <c r="O80" i="95"/>
  <c r="O72" i="95"/>
  <c r="O64" i="95"/>
  <c r="O56" i="95"/>
  <c r="O48" i="95"/>
  <c r="O40" i="95"/>
  <c r="O32" i="95"/>
  <c r="O24" i="95"/>
  <c r="O16" i="95"/>
  <c r="O99" i="95"/>
  <c r="O67" i="95"/>
  <c r="AR16" i="95" l="1"/>
  <c r="AQ16" i="95"/>
  <c r="AY16" i="95"/>
  <c r="AO16" i="95"/>
  <c r="AU16" i="95"/>
  <c r="AU13" i="95"/>
  <c r="AV13" i="95" s="1"/>
  <c r="AW13" i="95" s="1"/>
  <c r="AU19" i="95"/>
  <c r="AU106" i="95"/>
  <c r="AK106" i="95"/>
  <c r="AU70" i="95"/>
  <c r="AK70" i="95"/>
  <c r="AU84" i="95"/>
  <c r="AK84" i="95"/>
  <c r="AK16" i="95"/>
  <c r="AU32" i="95"/>
  <c r="AK32" i="95"/>
  <c r="AU80" i="95"/>
  <c r="AK80" i="95"/>
  <c r="AU47" i="95"/>
  <c r="AK47" i="95"/>
  <c r="AK34" i="95"/>
  <c r="AU34" i="95"/>
  <c r="AU65" i="95"/>
  <c r="AK65" i="95"/>
  <c r="AU45" i="95"/>
  <c r="AK45" i="95"/>
  <c r="AU60" i="95"/>
  <c r="AK60" i="95"/>
  <c r="AU76" i="95"/>
  <c r="AK76" i="95"/>
  <c r="AK19" i="95"/>
  <c r="AU59" i="95"/>
  <c r="AK59" i="95"/>
  <c r="AU75" i="95"/>
  <c r="AK75" i="95"/>
  <c r="AU58" i="95"/>
  <c r="AK58" i="95"/>
  <c r="AU105" i="95"/>
  <c r="AK105" i="95"/>
  <c r="AU48" i="95"/>
  <c r="AK48" i="95"/>
  <c r="AK42" i="95"/>
  <c r="AU42" i="95"/>
  <c r="AU109" i="95"/>
  <c r="AK109" i="95"/>
  <c r="AU64" i="95"/>
  <c r="AK64" i="95"/>
  <c r="AU100" i="95"/>
  <c r="AK100" i="95"/>
  <c r="AU24" i="95"/>
  <c r="AK24" i="95"/>
  <c r="AU17" i="95"/>
  <c r="AV17" i="95" s="1"/>
  <c r="AW17" i="95" s="1"/>
  <c r="AK17" i="95"/>
  <c r="AV14" i="95"/>
  <c r="AW14" i="95" s="1"/>
  <c r="AK14" i="95"/>
  <c r="AU23" i="95"/>
  <c r="AK23" i="95"/>
  <c r="AK103" i="95"/>
  <c r="AU103" i="95"/>
  <c r="AU110" i="95"/>
  <c r="AK110" i="95"/>
  <c r="AU61" i="95"/>
  <c r="AK61" i="95"/>
  <c r="AU101" i="95"/>
  <c r="AK101" i="95"/>
  <c r="AU92" i="95"/>
  <c r="AK92" i="95"/>
  <c r="AU41" i="95"/>
  <c r="AK41" i="95"/>
  <c r="AU38" i="95"/>
  <c r="AK38" i="95"/>
  <c r="AU69" i="95"/>
  <c r="AK69" i="95"/>
  <c r="AU28" i="95"/>
  <c r="AK28" i="95"/>
  <c r="AK35" i="95"/>
  <c r="AU35" i="95"/>
  <c r="AU86" i="95"/>
  <c r="AK86" i="95"/>
  <c r="AU44" i="95"/>
  <c r="AK44" i="95"/>
  <c r="AU107" i="95"/>
  <c r="AK107" i="95"/>
  <c r="AU87" i="95"/>
  <c r="AK87" i="95"/>
  <c r="AU18" i="95"/>
  <c r="AK18" i="95"/>
  <c r="AU98" i="95"/>
  <c r="AK98" i="95"/>
  <c r="AU46" i="95"/>
  <c r="AK46" i="95"/>
  <c r="AU62" i="95"/>
  <c r="AK62" i="95"/>
  <c r="AU73" i="95"/>
  <c r="AK73" i="95"/>
  <c r="AU26" i="95"/>
  <c r="AK26" i="95"/>
  <c r="AU27" i="95"/>
  <c r="AK27" i="95"/>
  <c r="AU99" i="95"/>
  <c r="AK99" i="95"/>
  <c r="AU97" i="95"/>
  <c r="AK97" i="95"/>
  <c r="AK13" i="95"/>
  <c r="AU54" i="95"/>
  <c r="AK54" i="95"/>
  <c r="AU37" i="95"/>
  <c r="AK37" i="95"/>
  <c r="AK67" i="95"/>
  <c r="AU67" i="95"/>
  <c r="AU40" i="95"/>
  <c r="AK40" i="95"/>
  <c r="AU56" i="95"/>
  <c r="AK56" i="95"/>
  <c r="AU96" i="95"/>
  <c r="AK96" i="95"/>
  <c r="AK74" i="95"/>
  <c r="AU74" i="95"/>
  <c r="AU63" i="95"/>
  <c r="AK63" i="95"/>
  <c r="AU22" i="95"/>
  <c r="AK22" i="95"/>
  <c r="AU30" i="95"/>
  <c r="AK30" i="95"/>
  <c r="AK66" i="95"/>
  <c r="AU66" i="95"/>
  <c r="AU90" i="95"/>
  <c r="AK90" i="95"/>
  <c r="AU29" i="95"/>
  <c r="AK29" i="95"/>
  <c r="AU20" i="95"/>
  <c r="AK20" i="95"/>
  <c r="AU52" i="95"/>
  <c r="AK52" i="95"/>
  <c r="AU51" i="95"/>
  <c r="AK51" i="95"/>
  <c r="AK111" i="95"/>
  <c r="AU111" i="95"/>
  <c r="AU85" i="95"/>
  <c r="AK85" i="95"/>
  <c r="AU33" i="95"/>
  <c r="AK33" i="95"/>
  <c r="AU83" i="95"/>
  <c r="AK83" i="95"/>
  <c r="AU72" i="95"/>
  <c r="AK72" i="95"/>
  <c r="AU88" i="95"/>
  <c r="AK88" i="95"/>
  <c r="AU104" i="95"/>
  <c r="AK104" i="95"/>
  <c r="AU31" i="95"/>
  <c r="AK31" i="95"/>
  <c r="AU39" i="95"/>
  <c r="AK39" i="95"/>
  <c r="AU95" i="95"/>
  <c r="AK95" i="95"/>
  <c r="AU57" i="95"/>
  <c r="AK57" i="95"/>
  <c r="AU102" i="95"/>
  <c r="AK102" i="95"/>
  <c r="AU25" i="95"/>
  <c r="AK25" i="95"/>
  <c r="AU21" i="95"/>
  <c r="AK21" i="95"/>
  <c r="AU53" i="95"/>
  <c r="AK53" i="95"/>
  <c r="AU77" i="95"/>
  <c r="AK77" i="95"/>
  <c r="AU50" i="95"/>
  <c r="AK50" i="95"/>
  <c r="AU36" i="95"/>
  <c r="AK36" i="95"/>
  <c r="AU68" i="95"/>
  <c r="AK68" i="95"/>
  <c r="AU108" i="95"/>
  <c r="AK108" i="95"/>
  <c r="AU91" i="95"/>
  <c r="AK91" i="95"/>
  <c r="AU49" i="95"/>
  <c r="AK49" i="95"/>
  <c r="AU43" i="95"/>
  <c r="AK43" i="95"/>
  <c r="AU89" i="95"/>
  <c r="AK89" i="95"/>
  <c r="AU81" i="95"/>
  <c r="AK81" i="95"/>
  <c r="AU55" i="95"/>
  <c r="AK55" i="95"/>
  <c r="AU71" i="95"/>
  <c r="AK71" i="95"/>
  <c r="AU79" i="95"/>
  <c r="AK79" i="95"/>
  <c r="AU82" i="95"/>
  <c r="AK82" i="95"/>
  <c r="AU78" i="95"/>
  <c r="AK78" i="95"/>
  <c r="AU94" i="95"/>
  <c r="AK94" i="95"/>
  <c r="AU93" i="95"/>
  <c r="AK93" i="95"/>
  <c r="AF41" i="73"/>
  <c r="AF42" i="73"/>
  <c r="L14" i="99" s="1"/>
  <c r="AF44" i="73"/>
  <c r="L16" i="99" s="1"/>
  <c r="AF45" i="73"/>
  <c r="L17" i="99" s="1"/>
  <c r="AF46" i="73"/>
  <c r="L18" i="99" s="1"/>
  <c r="AF47" i="73"/>
  <c r="L19" i="99" s="1"/>
  <c r="AF48" i="73"/>
  <c r="L20" i="99" s="1"/>
  <c r="AF49" i="73"/>
  <c r="L21" i="99" s="1"/>
  <c r="AF50" i="73"/>
  <c r="L22" i="99" s="1"/>
  <c r="AF51" i="73"/>
  <c r="L23" i="99" s="1"/>
  <c r="AF52" i="73"/>
  <c r="L24" i="99" s="1"/>
  <c r="AF53" i="73"/>
  <c r="L25" i="99" s="1"/>
  <c r="AF54" i="73"/>
  <c r="L26" i="99" s="1"/>
  <c r="AF55" i="73"/>
  <c r="L27" i="99" s="1"/>
  <c r="AF56" i="73"/>
  <c r="L28" i="99" s="1"/>
  <c r="AF57" i="73"/>
  <c r="L29" i="99" s="1"/>
  <c r="AF58" i="73"/>
  <c r="L30" i="99" s="1"/>
  <c r="AF59" i="73"/>
  <c r="L31" i="99" s="1"/>
  <c r="AF60" i="73"/>
  <c r="L32" i="99" s="1"/>
  <c r="AF61" i="73"/>
  <c r="L33" i="99" s="1"/>
  <c r="AF62" i="73"/>
  <c r="L34" i="99" s="1"/>
  <c r="AF63" i="73"/>
  <c r="L35" i="99" s="1"/>
  <c r="AF64" i="73"/>
  <c r="L36" i="99" s="1"/>
  <c r="AF65" i="73"/>
  <c r="L37" i="99" s="1"/>
  <c r="AF66" i="73"/>
  <c r="L38" i="99" s="1"/>
  <c r="AF67" i="73"/>
  <c r="L39" i="99" s="1"/>
  <c r="AF68" i="73"/>
  <c r="L40" i="99" s="1"/>
  <c r="AF69" i="73"/>
  <c r="L41" i="99" s="1"/>
  <c r="AF70" i="73"/>
  <c r="L42" i="99" s="1"/>
  <c r="AF71" i="73"/>
  <c r="L43" i="99" s="1"/>
  <c r="AF72" i="73"/>
  <c r="L44" i="99" s="1"/>
  <c r="AF73" i="73"/>
  <c r="L45" i="99" s="1"/>
  <c r="AF74" i="73"/>
  <c r="L46" i="99" s="1"/>
  <c r="AF75" i="73"/>
  <c r="L47" i="99" s="1"/>
  <c r="AF76" i="73"/>
  <c r="L48" i="99" s="1"/>
  <c r="AF77" i="73"/>
  <c r="L49" i="99" s="1"/>
  <c r="AF78" i="73"/>
  <c r="L50" i="99" s="1"/>
  <c r="AF79" i="73"/>
  <c r="L51" i="99" s="1"/>
  <c r="AF80" i="73"/>
  <c r="L52" i="99" s="1"/>
  <c r="AF81" i="73"/>
  <c r="L53" i="99" s="1"/>
  <c r="AF82" i="73"/>
  <c r="L54" i="99" s="1"/>
  <c r="AF83" i="73"/>
  <c r="L55" i="99" s="1"/>
  <c r="AF84" i="73"/>
  <c r="L56" i="99" s="1"/>
  <c r="AF85" i="73"/>
  <c r="L57" i="99" s="1"/>
  <c r="AF86" i="73"/>
  <c r="L58" i="99" s="1"/>
  <c r="AF87" i="73"/>
  <c r="L59" i="99" s="1"/>
  <c r="AF88" i="73"/>
  <c r="L60" i="99" s="1"/>
  <c r="AF89" i="73"/>
  <c r="L61" i="99" s="1"/>
  <c r="AF90" i="73"/>
  <c r="L62" i="99" s="1"/>
  <c r="AF91" i="73"/>
  <c r="L63" i="99" s="1"/>
  <c r="AF92" i="73"/>
  <c r="L64" i="99" s="1"/>
  <c r="AF93" i="73"/>
  <c r="L65" i="99" s="1"/>
  <c r="AF94" i="73"/>
  <c r="L66" i="99" s="1"/>
  <c r="AF95" i="73"/>
  <c r="L67" i="99" s="1"/>
  <c r="AF96" i="73"/>
  <c r="L68" i="99" s="1"/>
  <c r="AF97" i="73"/>
  <c r="L69" i="99" s="1"/>
  <c r="AF98" i="73"/>
  <c r="L70" i="99" s="1"/>
  <c r="AF99" i="73"/>
  <c r="L71" i="99" s="1"/>
  <c r="AF100" i="73"/>
  <c r="L72" i="99" s="1"/>
  <c r="AF101" i="73"/>
  <c r="L73" i="99" s="1"/>
  <c r="AF102" i="73"/>
  <c r="L74" i="99" s="1"/>
  <c r="AF103" i="73"/>
  <c r="L75" i="99" s="1"/>
  <c r="AF104" i="73"/>
  <c r="L76" i="99" s="1"/>
  <c r="AF105" i="73"/>
  <c r="L77" i="99" s="1"/>
  <c r="AF106" i="73"/>
  <c r="L78" i="99" s="1"/>
  <c r="AF107" i="73"/>
  <c r="L79" i="99" s="1"/>
  <c r="AF108" i="73"/>
  <c r="L80" i="99" s="1"/>
  <c r="AF109" i="73"/>
  <c r="L81" i="99" s="1"/>
  <c r="AF110" i="73"/>
  <c r="L82" i="99" s="1"/>
  <c r="AF111" i="73"/>
  <c r="L83" i="99" s="1"/>
  <c r="AF112" i="73"/>
  <c r="L84" i="99" s="1"/>
  <c r="AF113" i="73"/>
  <c r="L85" i="99" s="1"/>
  <c r="AF114" i="73"/>
  <c r="L86" i="99" s="1"/>
  <c r="AF115" i="73"/>
  <c r="L87" i="99" s="1"/>
  <c r="AF116" i="73"/>
  <c r="L88" i="99" s="1"/>
  <c r="AF117" i="73"/>
  <c r="L89" i="99" s="1"/>
  <c r="AF118" i="73"/>
  <c r="L90" i="99" s="1"/>
  <c r="AF119" i="73"/>
  <c r="L91" i="99" s="1"/>
  <c r="AF120" i="73"/>
  <c r="L92" i="99" s="1"/>
  <c r="AF121" i="73"/>
  <c r="L93" i="99" s="1"/>
  <c r="AF122" i="73"/>
  <c r="L94" i="99" s="1"/>
  <c r="AF123" i="73"/>
  <c r="L95" i="99" s="1"/>
  <c r="AF124" i="73"/>
  <c r="L96" i="99" s="1"/>
  <c r="AF125" i="73"/>
  <c r="L97" i="99" s="1"/>
  <c r="AF126" i="73"/>
  <c r="L98" i="99" s="1"/>
  <c r="AF127" i="73"/>
  <c r="L99" i="99" s="1"/>
  <c r="AF128" i="73"/>
  <c r="L100" i="99" s="1"/>
  <c r="AF129" i="73"/>
  <c r="L101" i="99" s="1"/>
  <c r="AF130" i="73"/>
  <c r="L102" i="99" s="1"/>
  <c r="AF131" i="73"/>
  <c r="L103" i="99" s="1"/>
  <c r="AF132" i="73"/>
  <c r="L104" i="99" s="1"/>
  <c r="AF133" i="73"/>
  <c r="L105" i="99" s="1"/>
  <c r="AF134" i="73"/>
  <c r="L106" i="99" s="1"/>
  <c r="AF135" i="73"/>
  <c r="L107" i="99" s="1"/>
  <c r="AF136" i="73"/>
  <c r="L108" i="99" s="1"/>
  <c r="AF137" i="73"/>
  <c r="L109" i="99" s="1"/>
  <c r="AF138" i="73"/>
  <c r="L110" i="99" s="1"/>
  <c r="AF139" i="73"/>
  <c r="L111" i="99" s="1"/>
  <c r="AF40" i="73"/>
  <c r="L12" i="99" s="1"/>
  <c r="K12" i="95"/>
  <c r="BH12" i="95" s="1"/>
  <c r="J12" i="95"/>
  <c r="I12" i="95"/>
  <c r="H12" i="95"/>
  <c r="G12" i="95"/>
  <c r="Z12" i="95"/>
  <c r="B12" i="95"/>
  <c r="AB66" i="99" l="1"/>
  <c r="AC66" i="99"/>
  <c r="AB97" i="99"/>
  <c r="AC97" i="99"/>
  <c r="AC89" i="99"/>
  <c r="AB89" i="99"/>
  <c r="AB81" i="99"/>
  <c r="AC81" i="99"/>
  <c r="AB73" i="99"/>
  <c r="AC73" i="99"/>
  <c r="AB65" i="99"/>
  <c r="AC65" i="99"/>
  <c r="AB82" i="99"/>
  <c r="AC82" i="99"/>
  <c r="AB96" i="99"/>
  <c r="AC96" i="99"/>
  <c r="AB88" i="99"/>
  <c r="AC88" i="99"/>
  <c r="AC80" i="99"/>
  <c r="AB80" i="99"/>
  <c r="AB72" i="99"/>
  <c r="AC72" i="99"/>
  <c r="AB64" i="99"/>
  <c r="AC64" i="99"/>
  <c r="AC98" i="99"/>
  <c r="AB98" i="99"/>
  <c r="AB74" i="99"/>
  <c r="AC74" i="99"/>
  <c r="AB111" i="99"/>
  <c r="AC111" i="99"/>
  <c r="AB103" i="99"/>
  <c r="AC103" i="99"/>
  <c r="AC95" i="99"/>
  <c r="AB95" i="99"/>
  <c r="AB87" i="99"/>
  <c r="AC87" i="99"/>
  <c r="AB79" i="99"/>
  <c r="AC79" i="99"/>
  <c r="AC71" i="99"/>
  <c r="AB71" i="99"/>
  <c r="AB63" i="99"/>
  <c r="AC63" i="99"/>
  <c r="AB106" i="99"/>
  <c r="AC106" i="99"/>
  <c r="AB90" i="99"/>
  <c r="AC90" i="99"/>
  <c r="AB105" i="99"/>
  <c r="AC105" i="99"/>
  <c r="AB110" i="99"/>
  <c r="AC110" i="99"/>
  <c r="AB94" i="99"/>
  <c r="AC94" i="99"/>
  <c r="AB78" i="99"/>
  <c r="AC78" i="99"/>
  <c r="AB70" i="99"/>
  <c r="AC70" i="99"/>
  <c r="AC62" i="99"/>
  <c r="AB62" i="99"/>
  <c r="AB54" i="99"/>
  <c r="AC54" i="99"/>
  <c r="AC86" i="99"/>
  <c r="AB86" i="99"/>
  <c r="AB109" i="99"/>
  <c r="AC109" i="99"/>
  <c r="AB101" i="99"/>
  <c r="AC101" i="99"/>
  <c r="AB93" i="99"/>
  <c r="AC93" i="99"/>
  <c r="AB85" i="99"/>
  <c r="AC85" i="99"/>
  <c r="AC77" i="99"/>
  <c r="AB77" i="99"/>
  <c r="AB69" i="99"/>
  <c r="AC69" i="99"/>
  <c r="AB61" i="99"/>
  <c r="AC61" i="99"/>
  <c r="AP61" i="99" s="1"/>
  <c r="AL61" i="99" s="1"/>
  <c r="AC108" i="99"/>
  <c r="AB108" i="99"/>
  <c r="AC92" i="99"/>
  <c r="AB92" i="99"/>
  <c r="AC84" i="99"/>
  <c r="AB84" i="99"/>
  <c r="AC76" i="99"/>
  <c r="AB76" i="99"/>
  <c r="AC68" i="99"/>
  <c r="AB68" i="99"/>
  <c r="AC104" i="99"/>
  <c r="AB104" i="99"/>
  <c r="AC102" i="99"/>
  <c r="AP102" i="99" s="1"/>
  <c r="AL102" i="99" s="1"/>
  <c r="AB102" i="99"/>
  <c r="AC100" i="99"/>
  <c r="AB100" i="99"/>
  <c r="AB107" i="99"/>
  <c r="AC107" i="99"/>
  <c r="AB99" i="99"/>
  <c r="AC99" i="99"/>
  <c r="AP99" i="99" s="1"/>
  <c r="AL99" i="99" s="1"/>
  <c r="AB91" i="99"/>
  <c r="AC91" i="99"/>
  <c r="AP91" i="99" s="1"/>
  <c r="AL91" i="99" s="1"/>
  <c r="AB83" i="99"/>
  <c r="AC83" i="99"/>
  <c r="AP83" i="99" s="1"/>
  <c r="AL83" i="99" s="1"/>
  <c r="AB75" i="99"/>
  <c r="AC75" i="99"/>
  <c r="AB67" i="99"/>
  <c r="AC67" i="99"/>
  <c r="AP67" i="99" s="1"/>
  <c r="AL67" i="99" s="1"/>
  <c r="AL55" i="95"/>
  <c r="AL53" i="95"/>
  <c r="AV35" i="95"/>
  <c r="AW35" i="95" s="1"/>
  <c r="AV55" i="95"/>
  <c r="AW55" i="95" s="1"/>
  <c r="AV50" i="95"/>
  <c r="AV25" i="95"/>
  <c r="AV104" i="95"/>
  <c r="AW104" i="95" s="1"/>
  <c r="AV83" i="95"/>
  <c r="AV111" i="95"/>
  <c r="AV66" i="95"/>
  <c r="AW66" i="95" s="1"/>
  <c r="AV18" i="95"/>
  <c r="AV61" i="95"/>
  <c r="AV23" i="95"/>
  <c r="AV64" i="95"/>
  <c r="AW64" i="95" s="1"/>
  <c r="AV48" i="95"/>
  <c r="AW48" i="95" s="1"/>
  <c r="AV75" i="95"/>
  <c r="AW75" i="95" s="1"/>
  <c r="AV76" i="95"/>
  <c r="AW76" i="95" s="1"/>
  <c r="AV65" i="95"/>
  <c r="AW65" i="95" s="1"/>
  <c r="AV80" i="95"/>
  <c r="AW80" i="95" s="1"/>
  <c r="AV19" i="95"/>
  <c r="AW19" i="95" s="1"/>
  <c r="AV28" i="95"/>
  <c r="AV108" i="95"/>
  <c r="AW108" i="95" s="1"/>
  <c r="AV20" i="95"/>
  <c r="AW20" i="95" s="1"/>
  <c r="AV30" i="95"/>
  <c r="AW30" i="95" s="1"/>
  <c r="AV40" i="95"/>
  <c r="AW40" i="95" s="1"/>
  <c r="AV99" i="95"/>
  <c r="AW99" i="95" s="1"/>
  <c r="AV62" i="95"/>
  <c r="AW62" i="95" s="1"/>
  <c r="AV42" i="95"/>
  <c r="AW42" i="95" s="1"/>
  <c r="AV84" i="95"/>
  <c r="AW84" i="95" s="1"/>
  <c r="AV93" i="95"/>
  <c r="AW93" i="95" s="1"/>
  <c r="AV78" i="95"/>
  <c r="AV71" i="95"/>
  <c r="AW71" i="95" s="1"/>
  <c r="AV95" i="95"/>
  <c r="AW95" i="95" s="1"/>
  <c r="AV72" i="95"/>
  <c r="AW72" i="95" s="1"/>
  <c r="AV54" i="95"/>
  <c r="AW54" i="95" s="1"/>
  <c r="AV73" i="95"/>
  <c r="AW73" i="95" s="1"/>
  <c r="AV103" i="95"/>
  <c r="AW103" i="95" s="1"/>
  <c r="AV58" i="95"/>
  <c r="AW58" i="95" s="1"/>
  <c r="AV43" i="95"/>
  <c r="AW43" i="95" s="1"/>
  <c r="AV102" i="95"/>
  <c r="AW102" i="95" s="1"/>
  <c r="AV27" i="95"/>
  <c r="AW27" i="95" s="1"/>
  <c r="AV107" i="95"/>
  <c r="AW107" i="95" s="1"/>
  <c r="AV89" i="95"/>
  <c r="AW89" i="95" s="1"/>
  <c r="AV91" i="95"/>
  <c r="AW91" i="95" s="1"/>
  <c r="AV21" i="95"/>
  <c r="AW21" i="95" s="1"/>
  <c r="AV57" i="95"/>
  <c r="AW57" i="95" s="1"/>
  <c r="AV52" i="95"/>
  <c r="AV63" i="95"/>
  <c r="AW63" i="95" s="1"/>
  <c r="AV56" i="95"/>
  <c r="AV38" i="95"/>
  <c r="AW38" i="95" s="1"/>
  <c r="AV101" i="95"/>
  <c r="AW101" i="95" s="1"/>
  <c r="AV45" i="95"/>
  <c r="AV82" i="95"/>
  <c r="AW82" i="95" s="1"/>
  <c r="AV41" i="95"/>
  <c r="AV36" i="95"/>
  <c r="AW36" i="95" s="1"/>
  <c r="AV31" i="95"/>
  <c r="AW31" i="95" s="1"/>
  <c r="AV85" i="95"/>
  <c r="AW85" i="95" s="1"/>
  <c r="AV51" i="95"/>
  <c r="AW51" i="95" s="1"/>
  <c r="AV90" i="95"/>
  <c r="AW90" i="95" s="1"/>
  <c r="AV26" i="95"/>
  <c r="AW26" i="95" s="1"/>
  <c r="AV98" i="95"/>
  <c r="AW98" i="95" s="1"/>
  <c r="AV86" i="95"/>
  <c r="AW86" i="95" s="1"/>
  <c r="AV100" i="95"/>
  <c r="AW100" i="95" s="1"/>
  <c r="AV34" i="95"/>
  <c r="AW34" i="95" s="1"/>
  <c r="AV47" i="95"/>
  <c r="AV106" i="95"/>
  <c r="AW106" i="95" s="1"/>
  <c r="AV77" i="95"/>
  <c r="AW77" i="95" s="1"/>
  <c r="AV109" i="95"/>
  <c r="AW109" i="95" s="1"/>
  <c r="AV94" i="95"/>
  <c r="AW94" i="95" s="1"/>
  <c r="AV81" i="95"/>
  <c r="AW81" i="95" s="1"/>
  <c r="AV49" i="95"/>
  <c r="AW49" i="95" s="1"/>
  <c r="AV53" i="95"/>
  <c r="AW53" i="95" s="1"/>
  <c r="AV88" i="95"/>
  <c r="AW88" i="95" s="1"/>
  <c r="AV33" i="95"/>
  <c r="AV22" i="95"/>
  <c r="AW22" i="95" s="1"/>
  <c r="AV67" i="95"/>
  <c r="AW67" i="95" s="1"/>
  <c r="AV37" i="95"/>
  <c r="AW37" i="95" s="1"/>
  <c r="AV97" i="95"/>
  <c r="AW97" i="95" s="1"/>
  <c r="AV69" i="95"/>
  <c r="AW69" i="95" s="1"/>
  <c r="AV24" i="95"/>
  <c r="AW24" i="95" s="1"/>
  <c r="AV59" i="95"/>
  <c r="AW59" i="95" s="1"/>
  <c r="AV60" i="95"/>
  <c r="AW60" i="95" s="1"/>
  <c r="AV32" i="95"/>
  <c r="AV29" i="95"/>
  <c r="AW29" i="95" s="1"/>
  <c r="AV87" i="95"/>
  <c r="AW87" i="95" s="1"/>
  <c r="AV70" i="95"/>
  <c r="AW70" i="95" s="1"/>
  <c r="AV79" i="95"/>
  <c r="AW79" i="95" s="1"/>
  <c r="AV68" i="95"/>
  <c r="AW68" i="95" s="1"/>
  <c r="AV39" i="95"/>
  <c r="AW39" i="95" s="1"/>
  <c r="AV74" i="95"/>
  <c r="AV96" i="95"/>
  <c r="AW96" i="95" s="1"/>
  <c r="AV46" i="95"/>
  <c r="AW46" i="95" s="1"/>
  <c r="AV44" i="95"/>
  <c r="AW44" i="95" s="1"/>
  <c r="AV92" i="95"/>
  <c r="AW92" i="95" s="1"/>
  <c r="AV110" i="95"/>
  <c r="AW110" i="95" s="1"/>
  <c r="AV105" i="95"/>
  <c r="AW105" i="95" s="1"/>
  <c r="AV16" i="95"/>
  <c r="AW16" i="95" s="1"/>
  <c r="AN12" i="95"/>
  <c r="AY12" i="95" s="1"/>
  <c r="L13" i="99"/>
  <c r="AX12" i="95"/>
  <c r="BA12" i="95"/>
  <c r="AP104" i="99"/>
  <c r="AL104" i="99" s="1"/>
  <c r="AP64" i="99"/>
  <c r="AL64" i="99" s="1"/>
  <c r="AP101" i="99"/>
  <c r="AL101" i="99" s="1"/>
  <c r="AP69" i="99"/>
  <c r="AL69" i="99" s="1"/>
  <c r="AP100" i="99"/>
  <c r="AL100" i="99" s="1"/>
  <c r="AP84" i="99"/>
  <c r="AL84" i="99" s="1"/>
  <c r="AP68" i="99"/>
  <c r="AL68" i="99" s="1"/>
  <c r="AP107" i="99"/>
  <c r="AL107" i="99" s="1"/>
  <c r="AP75" i="99"/>
  <c r="AL75" i="99" s="1"/>
  <c r="AP88" i="99"/>
  <c r="AL88" i="99" s="1"/>
  <c r="AP72" i="99"/>
  <c r="AL72" i="99" s="1"/>
  <c r="AP111" i="99"/>
  <c r="AL111" i="99" s="1"/>
  <c r="AP110" i="99"/>
  <c r="AL110" i="99" s="1"/>
  <c r="AP94" i="99"/>
  <c r="AL94" i="99" s="1"/>
  <c r="AP109" i="99"/>
  <c r="AL109" i="99" s="1"/>
  <c r="AP85" i="99"/>
  <c r="AL85" i="99" s="1"/>
  <c r="AP92" i="99"/>
  <c r="AL92" i="99" s="1"/>
  <c r="AP76" i="99"/>
  <c r="AL76" i="99" s="1"/>
  <c r="AP106" i="99"/>
  <c r="AL106" i="99" s="1"/>
  <c r="AP98" i="99"/>
  <c r="AL98" i="99" s="1"/>
  <c r="AP90" i="99"/>
  <c r="AL90" i="99" s="1"/>
  <c r="AP82" i="99"/>
  <c r="AL82" i="99" s="1"/>
  <c r="AP74" i="99"/>
  <c r="AL74" i="99" s="1"/>
  <c r="AP66" i="99"/>
  <c r="AL66" i="99" s="1"/>
  <c r="AP105" i="99"/>
  <c r="AL105" i="99" s="1"/>
  <c r="AP89" i="99"/>
  <c r="AL89" i="99" s="1"/>
  <c r="AP81" i="99"/>
  <c r="AL81" i="99" s="1"/>
  <c r="AP73" i="99"/>
  <c r="AL73" i="99" s="1"/>
  <c r="AP65" i="99"/>
  <c r="AL65" i="99" s="1"/>
  <c r="AP71" i="99"/>
  <c r="AL71" i="99" s="1"/>
  <c r="AP63" i="99"/>
  <c r="AL63" i="99" s="1"/>
  <c r="AP95" i="99"/>
  <c r="AL95" i="99" s="1"/>
  <c r="AP86" i="99"/>
  <c r="AL86" i="99" s="1"/>
  <c r="AP70" i="99"/>
  <c r="AL70" i="99" s="1"/>
  <c r="AP62" i="99"/>
  <c r="AL62" i="99" s="1"/>
  <c r="AP54" i="99"/>
  <c r="AL54" i="99" s="1"/>
  <c r="AP87" i="99"/>
  <c r="AL87" i="99" s="1"/>
  <c r="AP77" i="99"/>
  <c r="AL77" i="99" s="1"/>
  <c r="AP97" i="99"/>
  <c r="AL97" i="99" s="1"/>
  <c r="AP96" i="99"/>
  <c r="AL96" i="99" s="1"/>
  <c r="AP80" i="99"/>
  <c r="AL80" i="99" s="1"/>
  <c r="AP103" i="99"/>
  <c r="AL103" i="99" s="1"/>
  <c r="AP79" i="99"/>
  <c r="AL79" i="99" s="1"/>
  <c r="AP78" i="99"/>
  <c r="AL78" i="99" s="1"/>
  <c r="AP93" i="99"/>
  <c r="AL93" i="99" s="1"/>
  <c r="L12" i="95"/>
  <c r="AP108" i="99"/>
  <c r="AL108" i="99" s="1"/>
  <c r="L94" i="95"/>
  <c r="AC94" i="95" s="1"/>
  <c r="L78" i="95"/>
  <c r="AC78" i="95" s="1"/>
  <c r="L54" i="95"/>
  <c r="AC54" i="95" s="1"/>
  <c r="L30" i="95"/>
  <c r="L93" i="95"/>
  <c r="AC93" i="95" s="1"/>
  <c r="L107" i="95"/>
  <c r="AC107" i="95" s="1"/>
  <c r="L91" i="95"/>
  <c r="AC91" i="95" s="1"/>
  <c r="L83" i="95"/>
  <c r="AC83" i="95" s="1"/>
  <c r="L75" i="95"/>
  <c r="AC75" i="95" s="1"/>
  <c r="L67" i="95"/>
  <c r="AC67" i="95" s="1"/>
  <c r="L59" i="95"/>
  <c r="L51" i="95"/>
  <c r="L43" i="95"/>
  <c r="L35" i="95"/>
  <c r="L27" i="95"/>
  <c r="L19" i="95"/>
  <c r="L106" i="95"/>
  <c r="AC106" i="95" s="1"/>
  <c r="L98" i="95"/>
  <c r="AC98" i="95" s="1"/>
  <c r="L90" i="95"/>
  <c r="AC90" i="95" s="1"/>
  <c r="L82" i="95"/>
  <c r="AC82" i="95" s="1"/>
  <c r="L74" i="95"/>
  <c r="AC74" i="95" s="1"/>
  <c r="L66" i="95"/>
  <c r="AC66" i="95" s="1"/>
  <c r="L58" i="95"/>
  <c r="L50" i="95"/>
  <c r="L42" i="95"/>
  <c r="L34" i="95"/>
  <c r="L26" i="95"/>
  <c r="L18" i="95"/>
  <c r="L86" i="95"/>
  <c r="AC86" i="95" s="1"/>
  <c r="L85" i="95"/>
  <c r="AC85" i="95" s="1"/>
  <c r="L45" i="95"/>
  <c r="L108" i="95"/>
  <c r="AC108" i="95" s="1"/>
  <c r="L92" i="95"/>
  <c r="AC92" i="95" s="1"/>
  <c r="L76" i="95"/>
  <c r="AC76" i="95" s="1"/>
  <c r="L60" i="95"/>
  <c r="L20" i="95"/>
  <c r="L105" i="95"/>
  <c r="AC105" i="95" s="1"/>
  <c r="L97" i="95"/>
  <c r="AC97" i="95" s="1"/>
  <c r="L89" i="95"/>
  <c r="AC89" i="95" s="1"/>
  <c r="L81" i="95"/>
  <c r="AC81" i="95" s="1"/>
  <c r="L73" i="95"/>
  <c r="AC73" i="95" s="1"/>
  <c r="L65" i="95"/>
  <c r="AC65" i="95" s="1"/>
  <c r="L57" i="95"/>
  <c r="L49" i="95"/>
  <c r="L33" i="95"/>
  <c r="L25" i="95"/>
  <c r="L17" i="95"/>
  <c r="L104" i="95"/>
  <c r="AC104" i="95" s="1"/>
  <c r="L96" i="95"/>
  <c r="AC96" i="95" s="1"/>
  <c r="L88" i="95"/>
  <c r="AC88" i="95" s="1"/>
  <c r="L80" i="95"/>
  <c r="AC80" i="95" s="1"/>
  <c r="L72" i="95"/>
  <c r="AC72" i="95" s="1"/>
  <c r="L64" i="95"/>
  <c r="AC64" i="95" s="1"/>
  <c r="L56" i="95"/>
  <c r="L48" i="95"/>
  <c r="L40" i="95"/>
  <c r="L32" i="95"/>
  <c r="L24" i="95"/>
  <c r="L16" i="95"/>
  <c r="L102" i="95"/>
  <c r="AC102" i="95" s="1"/>
  <c r="L62" i="95"/>
  <c r="AC62" i="95" s="1"/>
  <c r="L46" i="95"/>
  <c r="L22" i="95"/>
  <c r="L109" i="95"/>
  <c r="AC109" i="95" s="1"/>
  <c r="L69" i="95"/>
  <c r="AC69" i="95" s="1"/>
  <c r="L21" i="95"/>
  <c r="L100" i="95"/>
  <c r="AC100" i="95" s="1"/>
  <c r="L84" i="95"/>
  <c r="AC84" i="95" s="1"/>
  <c r="L68" i="95"/>
  <c r="AC68" i="95" s="1"/>
  <c r="L52" i="95"/>
  <c r="L44" i="95"/>
  <c r="L28" i="95"/>
  <c r="L99" i="95"/>
  <c r="AC99" i="95" s="1"/>
  <c r="L41" i="95"/>
  <c r="L111" i="95"/>
  <c r="AC111" i="95" s="1"/>
  <c r="L103" i="95"/>
  <c r="AC103" i="95" s="1"/>
  <c r="L95" i="95"/>
  <c r="AC95" i="95" s="1"/>
  <c r="L87" i="95"/>
  <c r="AC87" i="95" s="1"/>
  <c r="L79" i="95"/>
  <c r="AC79" i="95" s="1"/>
  <c r="L71" i="95"/>
  <c r="AC71" i="95" s="1"/>
  <c r="L63" i="95"/>
  <c r="AC63" i="95" s="1"/>
  <c r="L55" i="95"/>
  <c r="L47" i="95"/>
  <c r="L39" i="95"/>
  <c r="L31" i="95"/>
  <c r="L23" i="95"/>
  <c r="L14" i="95"/>
  <c r="L110" i="95"/>
  <c r="AC110" i="95" s="1"/>
  <c r="L70" i="95"/>
  <c r="AC70" i="95" s="1"/>
  <c r="L38" i="95"/>
  <c r="L101" i="95"/>
  <c r="AC101" i="95" s="1"/>
  <c r="L77" i="95"/>
  <c r="AC77" i="95" s="1"/>
  <c r="L61" i="95"/>
  <c r="AC61" i="95" s="1"/>
  <c r="L53" i="95"/>
  <c r="L37" i="95"/>
  <c r="L29" i="95"/>
  <c r="L36" i="95"/>
  <c r="L13" i="95"/>
  <c r="O12" i="95"/>
  <c r="AO12" i="95" l="1"/>
  <c r="AL51" i="95"/>
  <c r="AW56" i="95"/>
  <c r="AL56" i="95"/>
  <c r="AL54" i="95"/>
  <c r="AW52" i="95"/>
  <c r="AL52" i="95"/>
  <c r="AW47" i="95"/>
  <c r="AW33" i="95"/>
  <c r="AW78" i="95"/>
  <c r="AW41" i="95"/>
  <c r="AW25" i="95"/>
  <c r="AW45" i="95"/>
  <c r="AW61" i="95"/>
  <c r="AW83" i="95"/>
  <c r="AW32" i="95"/>
  <c r="AW18" i="95"/>
  <c r="AW28" i="95"/>
  <c r="AW23" i="95"/>
  <c r="AW50" i="95"/>
  <c r="AL50" i="95" s="1"/>
  <c r="AW74" i="95"/>
  <c r="AW111" i="95"/>
  <c r="AK54" i="91"/>
  <c r="AK102" i="91"/>
  <c r="AK141" i="91" s="1"/>
  <c r="AU12" i="95"/>
  <c r="AV12" i="95" s="1"/>
  <c r="AW12" i="95" s="1"/>
  <c r="AK12" i="95"/>
  <c r="AQ12" i="95"/>
  <c r="AE9" i="95" s="1"/>
  <c r="AK32" i="91" s="1"/>
  <c r="AR12" i="95"/>
  <c r="AG9" i="95" l="1"/>
  <c r="AK40" i="91" s="1"/>
  <c r="AK135" i="91"/>
  <c r="BE12" i="95"/>
  <c r="AK43" i="91" l="1"/>
  <c r="R122" i="91"/>
  <c r="AL97" i="95" l="1"/>
  <c r="AL96" i="95"/>
  <c r="AL94" i="95"/>
  <c r="AL109" i="95"/>
  <c r="AL101" i="95"/>
  <c r="AL93" i="95"/>
  <c r="AL108" i="95"/>
  <c r="AL103" i="95"/>
  <c r="AL71" i="95"/>
  <c r="AL102" i="95"/>
  <c r="AL78" i="95"/>
  <c r="AL91" i="95"/>
  <c r="AL67" i="95"/>
  <c r="AB111" i="95" l="1"/>
  <c r="AL111" i="95"/>
  <c r="AB65" i="95"/>
  <c r="AL65" i="95"/>
  <c r="AB95" i="95"/>
  <c r="AL95" i="95"/>
  <c r="AB83" i="95"/>
  <c r="AL83" i="95"/>
  <c r="AB85" i="95"/>
  <c r="AL85" i="95"/>
  <c r="AB99" i="95"/>
  <c r="AL99" i="95"/>
  <c r="AB110" i="95"/>
  <c r="AL110" i="95"/>
  <c r="AB81" i="95"/>
  <c r="AL81" i="95"/>
  <c r="AB74" i="95"/>
  <c r="AL74" i="95"/>
  <c r="AB106" i="95"/>
  <c r="AL106" i="95"/>
  <c r="AB86" i="95"/>
  <c r="AL86" i="95"/>
  <c r="AB64" i="95"/>
  <c r="AL64" i="95"/>
  <c r="AB73" i="95"/>
  <c r="AL73" i="95"/>
  <c r="AB84" i="95"/>
  <c r="AL84" i="95"/>
  <c r="AB69" i="95"/>
  <c r="AL69" i="95"/>
  <c r="AB72" i="95"/>
  <c r="AL72" i="95"/>
  <c r="AB66" i="95"/>
  <c r="AL66" i="95"/>
  <c r="AB104" i="95"/>
  <c r="AL104" i="95"/>
  <c r="AB82" i="95"/>
  <c r="AL82" i="95"/>
  <c r="AB90" i="95"/>
  <c r="AL90" i="95"/>
  <c r="AB75" i="95"/>
  <c r="AL75" i="95"/>
  <c r="AB107" i="95"/>
  <c r="AL107" i="95"/>
  <c r="AB80" i="95"/>
  <c r="AL80" i="95"/>
  <c r="AB92" i="95"/>
  <c r="AL92" i="95"/>
  <c r="AB98" i="95"/>
  <c r="AL98" i="95"/>
  <c r="AB68" i="95"/>
  <c r="AL68" i="95"/>
  <c r="AB76" i="95"/>
  <c r="AL76" i="95"/>
  <c r="AB89" i="95"/>
  <c r="AL89" i="95"/>
  <c r="AB77" i="95"/>
  <c r="AL77" i="95"/>
  <c r="AB79" i="95"/>
  <c r="AL79" i="95"/>
  <c r="AB88" i="95"/>
  <c r="AL88" i="95"/>
  <c r="AB87" i="95"/>
  <c r="AL87" i="95"/>
  <c r="AB100" i="95"/>
  <c r="AL100" i="95"/>
  <c r="AB70" i="95"/>
  <c r="AL70" i="95"/>
  <c r="AB105" i="95"/>
  <c r="AL105" i="95"/>
  <c r="AB71" i="95"/>
  <c r="AB97" i="95"/>
  <c r="AB109" i="95"/>
  <c r="AB101" i="95"/>
  <c r="AB67" i="95"/>
  <c r="AB102" i="95"/>
  <c r="AB91" i="95"/>
  <c r="AB108" i="95"/>
  <c r="AB93" i="95"/>
  <c r="AB103" i="95"/>
  <c r="AB78" i="95"/>
  <c r="AB94" i="95"/>
  <c r="AB96" i="95"/>
  <c r="AC41" i="73"/>
  <c r="AC42" i="73"/>
  <c r="AC44" i="73"/>
  <c r="AC45" i="73"/>
  <c r="AC46" i="73"/>
  <c r="AC47" i="73"/>
  <c r="AC48" i="73"/>
  <c r="AC49" i="73"/>
  <c r="AC50" i="73"/>
  <c r="AC51" i="73"/>
  <c r="AC52" i="73"/>
  <c r="AC53" i="73"/>
  <c r="AC54" i="73"/>
  <c r="AC55" i="73"/>
  <c r="AC56" i="73"/>
  <c r="AC57" i="73"/>
  <c r="AC58" i="73"/>
  <c r="AC59" i="73"/>
  <c r="AC60" i="73"/>
  <c r="AC61" i="73"/>
  <c r="AC62" i="73"/>
  <c r="AC63" i="73"/>
  <c r="AC64" i="73"/>
  <c r="AC65" i="73"/>
  <c r="AC66" i="73"/>
  <c r="AC67" i="73"/>
  <c r="AC68" i="73"/>
  <c r="AC69" i="73"/>
  <c r="AC70" i="73"/>
  <c r="AC71" i="73"/>
  <c r="AC72" i="73"/>
  <c r="AC73" i="73"/>
  <c r="AC74" i="73"/>
  <c r="AC75" i="73"/>
  <c r="AC76" i="73"/>
  <c r="AC77" i="73"/>
  <c r="AC78" i="73"/>
  <c r="AC79" i="73"/>
  <c r="AC80" i="73"/>
  <c r="AC81" i="73"/>
  <c r="AC82" i="73"/>
  <c r="AC83" i="73"/>
  <c r="AC84" i="73"/>
  <c r="AC85" i="73"/>
  <c r="AC86" i="73"/>
  <c r="AC87" i="73"/>
  <c r="AC88" i="73"/>
  <c r="AC89" i="73"/>
  <c r="AC90" i="73"/>
  <c r="AC91" i="73"/>
  <c r="AC92" i="73"/>
  <c r="AC93" i="73"/>
  <c r="AC94" i="73"/>
  <c r="AC95" i="73"/>
  <c r="AC96" i="73"/>
  <c r="AC97" i="73"/>
  <c r="AC98" i="73"/>
  <c r="AC99" i="73"/>
  <c r="AC100" i="73"/>
  <c r="AC101" i="73"/>
  <c r="AC102" i="73"/>
  <c r="AC103" i="73"/>
  <c r="AC104" i="73"/>
  <c r="AC105" i="73"/>
  <c r="AC106" i="73"/>
  <c r="AC107" i="73"/>
  <c r="AC108" i="73"/>
  <c r="AC109" i="73"/>
  <c r="AC110" i="73"/>
  <c r="AC111" i="73"/>
  <c r="AC112" i="73"/>
  <c r="AC113" i="73"/>
  <c r="AC114" i="73"/>
  <c r="AC115" i="73"/>
  <c r="AC116" i="73"/>
  <c r="AC117" i="73"/>
  <c r="AC118" i="73"/>
  <c r="AC119" i="73"/>
  <c r="AC120" i="73"/>
  <c r="AC121" i="73"/>
  <c r="AC122" i="73"/>
  <c r="AC123" i="73"/>
  <c r="AC124" i="73"/>
  <c r="AC125" i="73"/>
  <c r="AC126" i="73"/>
  <c r="AC127" i="73"/>
  <c r="AC128" i="73"/>
  <c r="AC129" i="73"/>
  <c r="AC130" i="73"/>
  <c r="AC131" i="73"/>
  <c r="AC132" i="73"/>
  <c r="AC133" i="73"/>
  <c r="AC134" i="73"/>
  <c r="AC135" i="73"/>
  <c r="AC136" i="73"/>
  <c r="AC137" i="73"/>
  <c r="AC138" i="73"/>
  <c r="AC139" i="73"/>
  <c r="AC40" i="73"/>
  <c r="AB54" i="95" l="1"/>
  <c r="T35" i="73"/>
  <c r="AO18" i="73" l="1"/>
  <c r="I7" i="91" s="1"/>
  <c r="T34" i="73"/>
  <c r="AC54" i="81"/>
  <c r="AC53" i="81"/>
  <c r="AC52" i="81"/>
  <c r="AC51" i="81"/>
  <c r="AC50" i="81"/>
  <c r="AC49" i="81"/>
  <c r="AC48" i="81"/>
  <c r="AC47" i="81"/>
  <c r="AC46" i="81"/>
  <c r="AC45" i="81"/>
  <c r="AC44" i="81"/>
  <c r="AC43" i="81"/>
  <c r="AC42" i="81"/>
  <c r="AC41" i="81"/>
  <c r="AC40" i="81"/>
  <c r="AC39" i="81"/>
  <c r="AC38" i="81"/>
  <c r="AC37" i="81"/>
  <c r="AC36" i="81"/>
  <c r="AC35" i="81"/>
  <c r="AC34" i="81"/>
  <c r="AC33" i="81"/>
  <c r="AC32" i="81"/>
  <c r="AC31" i="81"/>
  <c r="AC30" i="81"/>
  <c r="AC29" i="81"/>
  <c r="AC28" i="81"/>
  <c r="AC27" i="81"/>
  <c r="AC26" i="81"/>
  <c r="AC25" i="81"/>
  <c r="AC24" i="81"/>
  <c r="AC23" i="81"/>
  <c r="AC22" i="81"/>
  <c r="AC21" i="81"/>
  <c r="AC20" i="81"/>
  <c r="AC19" i="81"/>
  <c r="AC18" i="81"/>
  <c r="AC17" i="81"/>
  <c r="AC16" i="81"/>
  <c r="AC15" i="81"/>
  <c r="AC14" i="81"/>
  <c r="AC13" i="81"/>
  <c r="AC12" i="81"/>
  <c r="AC11" i="81"/>
  <c r="AC10" i="81"/>
  <c r="AC9" i="81"/>
  <c r="AC8" i="81"/>
  <c r="AC7" i="81"/>
  <c r="AC6" i="81"/>
  <c r="AC5" i="81"/>
  <c r="AC4" i="81"/>
  <c r="AC3" i="81"/>
  <c r="AG43" i="73" l="1"/>
  <c r="M15" i="99" s="1"/>
  <c r="AG40" i="73"/>
  <c r="AG80" i="73"/>
  <c r="AG62" i="73"/>
  <c r="AG52" i="73"/>
  <c r="AG61" i="73"/>
  <c r="AG84" i="73"/>
  <c r="AG64" i="73"/>
  <c r="AG47" i="73"/>
  <c r="AG54" i="73"/>
  <c r="AG83" i="73"/>
  <c r="AG76" i="73"/>
  <c r="AG81" i="73"/>
  <c r="AG48" i="73"/>
  <c r="AG88" i="73"/>
  <c r="AG75" i="73"/>
  <c r="AG74" i="73"/>
  <c r="AG73" i="73"/>
  <c r="AG87" i="73"/>
  <c r="AG72" i="73"/>
  <c r="AG46" i="73"/>
  <c r="AG67" i="73"/>
  <c r="AG66" i="73"/>
  <c r="AG65" i="73"/>
  <c r="AG79" i="73"/>
  <c r="AG56" i="73"/>
  <c r="AG77" i="73"/>
  <c r="AG59" i="73"/>
  <c r="AG58" i="73"/>
  <c r="AG57" i="73"/>
  <c r="AG71" i="73"/>
  <c r="AG86" i="73"/>
  <c r="AG53" i="73"/>
  <c r="AG51" i="73"/>
  <c r="AG50" i="73"/>
  <c r="AG49" i="73"/>
  <c r="AG55" i="73"/>
  <c r="AG60" i="73"/>
  <c r="AG69" i="73"/>
  <c r="AG63" i="73"/>
  <c r="AG78" i="73"/>
  <c r="AG68" i="73"/>
  <c r="AG42" i="73"/>
  <c r="AG41" i="73"/>
  <c r="AG70" i="73"/>
  <c r="AG85" i="73"/>
  <c r="AG45" i="73"/>
  <c r="M17" i="95" s="1"/>
  <c r="AC17" i="95" s="1"/>
  <c r="AG44" i="73"/>
  <c r="M15" i="95"/>
  <c r="AC15" i="95" s="1"/>
  <c r="AP15" i="95" s="1"/>
  <c r="AC15" i="99" l="1"/>
  <c r="AP15" i="99" s="1"/>
  <c r="AL15" i="99" s="1"/>
  <c r="AB15" i="99"/>
  <c r="M37" i="99"/>
  <c r="M37" i="95"/>
  <c r="AC37" i="95" s="1"/>
  <c r="M43" i="95"/>
  <c r="AC43" i="95" s="1"/>
  <c r="M43" i="99"/>
  <c r="M38" i="99"/>
  <c r="M38" i="95"/>
  <c r="AC38" i="95" s="1"/>
  <c r="M60" i="99"/>
  <c r="M60" i="95"/>
  <c r="AC60" i="95" s="1"/>
  <c r="AL60" i="95" s="1"/>
  <c r="M56" i="99"/>
  <c r="M56" i="95"/>
  <c r="M57" i="99"/>
  <c r="M57" i="95"/>
  <c r="M32" i="99"/>
  <c r="M32" i="95"/>
  <c r="AC32" i="95" s="1"/>
  <c r="M29" i="99"/>
  <c r="M29" i="95"/>
  <c r="AC29" i="95" s="1"/>
  <c r="AL29" i="95" s="1"/>
  <c r="M39" i="99"/>
  <c r="M39" i="95"/>
  <c r="AC39" i="95" s="1"/>
  <c r="AL39" i="95" s="1"/>
  <c r="M20" i="99"/>
  <c r="M20" i="95"/>
  <c r="AC20" i="95" s="1"/>
  <c r="AL20" i="95" s="1"/>
  <c r="M33" i="99"/>
  <c r="M33" i="95"/>
  <c r="AC33" i="95" s="1"/>
  <c r="M58" i="99"/>
  <c r="M58" i="95"/>
  <c r="AC58" i="95" s="1"/>
  <c r="M36" i="99"/>
  <c r="M36" i="95"/>
  <c r="AC36" i="95" s="1"/>
  <c r="AL36" i="95" s="1"/>
  <c r="M42" i="95"/>
  <c r="AC42" i="95" s="1"/>
  <c r="M42" i="99"/>
  <c r="M27" i="99"/>
  <c r="M27" i="95"/>
  <c r="AC27" i="95" s="1"/>
  <c r="M30" i="99"/>
  <c r="M30" i="95"/>
  <c r="AC30" i="95" s="1"/>
  <c r="M18" i="95"/>
  <c r="M18" i="99"/>
  <c r="M53" i="95"/>
  <c r="M53" i="99"/>
  <c r="M24" i="99"/>
  <c r="M24" i="95"/>
  <c r="AC24" i="95" s="1"/>
  <c r="M47" i="99"/>
  <c r="M47" i="95"/>
  <c r="AC47" i="95" s="1"/>
  <c r="M41" i="99"/>
  <c r="M41" i="95"/>
  <c r="AC41" i="95" s="1"/>
  <c r="M21" i="95"/>
  <c r="AC21" i="95" s="1"/>
  <c r="AL21" i="95" s="1"/>
  <c r="M21" i="99"/>
  <c r="M31" i="95"/>
  <c r="AC31" i="95" s="1"/>
  <c r="M31" i="99"/>
  <c r="M44" i="95"/>
  <c r="AC44" i="95" s="1"/>
  <c r="AL44" i="95" s="1"/>
  <c r="M44" i="99"/>
  <c r="M48" i="99"/>
  <c r="M48" i="95"/>
  <c r="AC48" i="95" s="1"/>
  <c r="AL48" i="95" s="1"/>
  <c r="M34" i="99"/>
  <c r="M34" i="95"/>
  <c r="AC34" i="95" s="1"/>
  <c r="M35" i="99"/>
  <c r="M35" i="95"/>
  <c r="AC35" i="95" s="1"/>
  <c r="M22" i="99"/>
  <c r="M22" i="95"/>
  <c r="AC22" i="95" s="1"/>
  <c r="M49" i="95"/>
  <c r="AC49" i="95" s="1"/>
  <c r="M49" i="99"/>
  <c r="M59" i="99"/>
  <c r="M59" i="95"/>
  <c r="AC59" i="95" s="1"/>
  <c r="M55" i="95"/>
  <c r="M55" i="99"/>
  <c r="M52" i="99"/>
  <c r="M52" i="95"/>
  <c r="M40" i="99"/>
  <c r="M40" i="95"/>
  <c r="AC40" i="95" s="1"/>
  <c r="AL40" i="95" s="1"/>
  <c r="M23" i="99"/>
  <c r="M23" i="95"/>
  <c r="AC23" i="95" s="1"/>
  <c r="AL23" i="95" s="1"/>
  <c r="M28" i="99"/>
  <c r="M28" i="95"/>
  <c r="AC28" i="95" s="1"/>
  <c r="AL28" i="95" s="1"/>
  <c r="M45" i="99"/>
  <c r="M45" i="95"/>
  <c r="AC45" i="95" s="1"/>
  <c r="AL45" i="95" s="1"/>
  <c r="M26" i="99"/>
  <c r="M26" i="95"/>
  <c r="AC26" i="95" s="1"/>
  <c r="AL26" i="95" s="1"/>
  <c r="M50" i="99"/>
  <c r="M50" i="95"/>
  <c r="AC50" i="95" s="1"/>
  <c r="M25" i="99"/>
  <c r="M25" i="95"/>
  <c r="AC25" i="95" s="1"/>
  <c r="M51" i="99"/>
  <c r="M51" i="95"/>
  <c r="M46" i="95"/>
  <c r="AC46" i="95" s="1"/>
  <c r="AL46" i="95" s="1"/>
  <c r="M46" i="99"/>
  <c r="M19" i="95"/>
  <c r="AC19" i="95" s="1"/>
  <c r="AL19" i="95" s="1"/>
  <c r="M19" i="99"/>
  <c r="M16" i="95"/>
  <c r="M16" i="99"/>
  <c r="AB15" i="95"/>
  <c r="AL15" i="95"/>
  <c r="M13" i="95"/>
  <c r="AC13" i="95" s="1"/>
  <c r="AP13" i="95" s="1"/>
  <c r="M17" i="99"/>
  <c r="M14" i="95"/>
  <c r="M14" i="99"/>
  <c r="M12" i="99"/>
  <c r="M12" i="95"/>
  <c r="AC12" i="95" s="1"/>
  <c r="AL62" i="95"/>
  <c r="AL17" i="95"/>
  <c r="AL61" i="95"/>
  <c r="AC14" i="95" l="1"/>
  <c r="AP14" i="95" s="1"/>
  <c r="AB14" i="95"/>
  <c r="AC31" i="99"/>
  <c r="AB31" i="99"/>
  <c r="AB14" i="99"/>
  <c r="AC14" i="99"/>
  <c r="AP14" i="99" s="1"/>
  <c r="AL14" i="99" s="1"/>
  <c r="AC25" i="99"/>
  <c r="AB25" i="99"/>
  <c r="AC28" i="99"/>
  <c r="AP28" i="99" s="1"/>
  <c r="AL28" i="99" s="1"/>
  <c r="AB28" i="99"/>
  <c r="AB35" i="99"/>
  <c r="AC35" i="99"/>
  <c r="AB24" i="99"/>
  <c r="AC24" i="99"/>
  <c r="AB27" i="99"/>
  <c r="AC27" i="99"/>
  <c r="AB33" i="99"/>
  <c r="AC33" i="99"/>
  <c r="AB32" i="99"/>
  <c r="AC32" i="99"/>
  <c r="AB38" i="99"/>
  <c r="AC38" i="99"/>
  <c r="AP38" i="99" s="1"/>
  <c r="AL38" i="99" s="1"/>
  <c r="AB21" i="99"/>
  <c r="AC21" i="99"/>
  <c r="AC53" i="99"/>
  <c r="AP53" i="99" s="1"/>
  <c r="AL53" i="99" s="1"/>
  <c r="AB53" i="99"/>
  <c r="AB42" i="99"/>
  <c r="AC42" i="99"/>
  <c r="AB43" i="99"/>
  <c r="AC43" i="99"/>
  <c r="AB19" i="99"/>
  <c r="AC19" i="99"/>
  <c r="AB17" i="99"/>
  <c r="AC17" i="99"/>
  <c r="AP17" i="99" s="1"/>
  <c r="AL17" i="99" s="1"/>
  <c r="AB50" i="99"/>
  <c r="AC50" i="99"/>
  <c r="AB23" i="99"/>
  <c r="AC23" i="99"/>
  <c r="AP23" i="99" s="1"/>
  <c r="AL23" i="99" s="1"/>
  <c r="AB59" i="99"/>
  <c r="AC59" i="99"/>
  <c r="AP59" i="99" s="1"/>
  <c r="AL59" i="99" s="1"/>
  <c r="AC34" i="99"/>
  <c r="AP34" i="99" s="1"/>
  <c r="AL34" i="99" s="1"/>
  <c r="AB34" i="99"/>
  <c r="AC20" i="99"/>
  <c r="AB20" i="99"/>
  <c r="AB57" i="99"/>
  <c r="AC57" i="99"/>
  <c r="AP57" i="99" s="1"/>
  <c r="AL57" i="99" s="1"/>
  <c r="AC16" i="99"/>
  <c r="AP16" i="99" s="1"/>
  <c r="AL16" i="99" s="1"/>
  <c r="AB16" i="99"/>
  <c r="AC49" i="99"/>
  <c r="AP49" i="99" s="1"/>
  <c r="AL49" i="99" s="1"/>
  <c r="AB49" i="99"/>
  <c r="AB18" i="99"/>
  <c r="AC18" i="99"/>
  <c r="AP18" i="99" s="1"/>
  <c r="AL18" i="99" s="1"/>
  <c r="AB26" i="99"/>
  <c r="AC26" i="99"/>
  <c r="AP26" i="99" s="1"/>
  <c r="AL26" i="99" s="1"/>
  <c r="AC40" i="99"/>
  <c r="AB40" i="99"/>
  <c r="AB48" i="99"/>
  <c r="AC48" i="99"/>
  <c r="AP48" i="99" s="1"/>
  <c r="AL48" i="99" s="1"/>
  <c r="AB41" i="99"/>
  <c r="AC41" i="99"/>
  <c r="AC36" i="99"/>
  <c r="AP36" i="99" s="1"/>
  <c r="AL36" i="99" s="1"/>
  <c r="AB36" i="99"/>
  <c r="AB39" i="99"/>
  <c r="AC39" i="99"/>
  <c r="AB56" i="99"/>
  <c r="AC56" i="99"/>
  <c r="AP56" i="99" s="1"/>
  <c r="AL56" i="99" s="1"/>
  <c r="AB37" i="99"/>
  <c r="AC37" i="99"/>
  <c r="AB55" i="99"/>
  <c r="AC55" i="99"/>
  <c r="AP55" i="99" s="1"/>
  <c r="AL55" i="99" s="1"/>
  <c r="AB46" i="99"/>
  <c r="AC46" i="99"/>
  <c r="AC44" i="99"/>
  <c r="AP44" i="99" s="1"/>
  <c r="AL44" i="99" s="1"/>
  <c r="AB44" i="99"/>
  <c r="AB51" i="99"/>
  <c r="AC51" i="99"/>
  <c r="AP51" i="99" s="1"/>
  <c r="AL51" i="99" s="1"/>
  <c r="AB45" i="99"/>
  <c r="AC45" i="99"/>
  <c r="AP45" i="99" s="1"/>
  <c r="AL45" i="99" s="1"/>
  <c r="AC52" i="99"/>
  <c r="AB52" i="99"/>
  <c r="AC22" i="99"/>
  <c r="AP22" i="99" s="1"/>
  <c r="AL22" i="99" s="1"/>
  <c r="AB22" i="99"/>
  <c r="AB47" i="99"/>
  <c r="AC47" i="99"/>
  <c r="AP47" i="99" s="1"/>
  <c r="AL47" i="99" s="1"/>
  <c r="AB30" i="99"/>
  <c r="AC30" i="99"/>
  <c r="AP30" i="99" s="1"/>
  <c r="AL30" i="99" s="1"/>
  <c r="AC58" i="99"/>
  <c r="AP58" i="99" s="1"/>
  <c r="AL58" i="99" s="1"/>
  <c r="AB58" i="99"/>
  <c r="AB29" i="99"/>
  <c r="AC29" i="99"/>
  <c r="AP29" i="99" s="1"/>
  <c r="AL29" i="99" s="1"/>
  <c r="AC60" i="99"/>
  <c r="AP60" i="99" s="1"/>
  <c r="AL60" i="99" s="1"/>
  <c r="AB60" i="99"/>
  <c r="AP52" i="99"/>
  <c r="AL52" i="99" s="1"/>
  <c r="AP31" i="99"/>
  <c r="AL31" i="99" s="1"/>
  <c r="AP25" i="99"/>
  <c r="AL25" i="99" s="1"/>
  <c r="AC55" i="95"/>
  <c r="AB55" i="95"/>
  <c r="AP35" i="99"/>
  <c r="AL35" i="99" s="1"/>
  <c r="AP24" i="99"/>
  <c r="AL24" i="99" s="1"/>
  <c r="AP27" i="99"/>
  <c r="AL27" i="99" s="1"/>
  <c r="AP33" i="99"/>
  <c r="AL33" i="99" s="1"/>
  <c r="AP32" i="99"/>
  <c r="AL32" i="99" s="1"/>
  <c r="AP21" i="99"/>
  <c r="AL21" i="99" s="1"/>
  <c r="AP42" i="99"/>
  <c r="AL42" i="99" s="1"/>
  <c r="AC57" i="95"/>
  <c r="AL57" i="95" s="1"/>
  <c r="AB57" i="95"/>
  <c r="AP43" i="99"/>
  <c r="AL43" i="99" s="1"/>
  <c r="AP50" i="99"/>
  <c r="AL50" i="99" s="1"/>
  <c r="AC53" i="95"/>
  <c r="AB53" i="95"/>
  <c r="AP20" i="99"/>
  <c r="AL20" i="99" s="1"/>
  <c r="AP19" i="99"/>
  <c r="AL19" i="99" s="1"/>
  <c r="AP46" i="99"/>
  <c r="AL46" i="99" s="1"/>
  <c r="AC56" i="95"/>
  <c r="AB56" i="95"/>
  <c r="AC51" i="95"/>
  <c r="AB51" i="95"/>
  <c r="AC52" i="95"/>
  <c r="AB52" i="95"/>
  <c r="AP40" i="99"/>
  <c r="AL40" i="99" s="1"/>
  <c r="AP41" i="99"/>
  <c r="AL41" i="99" s="1"/>
  <c r="AB18" i="95"/>
  <c r="AC18" i="95"/>
  <c r="AL18" i="95" s="1"/>
  <c r="AP39" i="99"/>
  <c r="AL39" i="99" s="1"/>
  <c r="AP37" i="99"/>
  <c r="AL37" i="99" s="1"/>
  <c r="AB16" i="95"/>
  <c r="AC16" i="95"/>
  <c r="AC12" i="99"/>
  <c r="AP12" i="99" s="1"/>
  <c r="AL12" i="99" s="1"/>
  <c r="AB12" i="99"/>
  <c r="M13" i="99"/>
  <c r="AB35" i="95"/>
  <c r="AL35" i="95"/>
  <c r="AB25" i="95"/>
  <c r="AL25" i="95"/>
  <c r="AB59" i="95"/>
  <c r="AL59" i="95"/>
  <c r="AB49" i="95"/>
  <c r="AL49" i="95"/>
  <c r="AB63" i="95"/>
  <c r="AL63" i="95"/>
  <c r="AB22" i="95"/>
  <c r="AL22" i="95"/>
  <c r="AB27" i="95"/>
  <c r="AL27" i="95"/>
  <c r="AB42" i="95"/>
  <c r="AL42" i="95"/>
  <c r="AB31" i="95"/>
  <c r="AL31" i="95"/>
  <c r="AB30" i="95"/>
  <c r="AL30" i="95"/>
  <c r="AB38" i="95"/>
  <c r="AL38" i="95"/>
  <c r="AB32" i="95"/>
  <c r="AL32" i="95"/>
  <c r="AB43" i="95"/>
  <c r="AL43" i="95"/>
  <c r="AB24" i="95"/>
  <c r="AL24" i="95"/>
  <c r="AB33" i="95"/>
  <c r="AL33" i="95"/>
  <c r="AB37" i="95"/>
  <c r="AL37" i="95"/>
  <c r="AB47" i="95"/>
  <c r="AL47" i="95"/>
  <c r="AB34" i="95"/>
  <c r="AL34" i="95"/>
  <c r="AB41" i="95"/>
  <c r="AL41" i="95"/>
  <c r="AB58" i="95"/>
  <c r="AL58" i="95"/>
  <c r="AP12" i="95"/>
  <c r="AL12" i="95" s="1"/>
  <c r="AB12" i="95"/>
  <c r="AL13" i="95"/>
  <c r="AB46" i="95"/>
  <c r="AB19" i="95"/>
  <c r="AB23" i="95"/>
  <c r="AB21" i="95"/>
  <c r="AB28" i="95"/>
  <c r="AB50" i="95"/>
  <c r="AB17" i="95"/>
  <c r="AB44" i="95"/>
  <c r="AB48" i="95"/>
  <c r="AB61" i="95"/>
  <c r="AB45" i="95"/>
  <c r="AB29" i="95"/>
  <c r="AB62" i="95"/>
  <c r="AB26" i="95"/>
  <c r="AB40" i="95"/>
  <c r="AB20" i="95"/>
  <c r="AB39" i="95"/>
  <c r="AB60" i="95"/>
  <c r="AB36" i="95"/>
  <c r="T36" i="73"/>
  <c r="AL16" i="95" l="1"/>
  <c r="AP16" i="95"/>
  <c r="AC13" i="99"/>
  <c r="AB13" i="99"/>
  <c r="N6" i="99"/>
  <c r="BE51" i="91" s="1"/>
  <c r="AB13" i="95"/>
  <c r="L5" i="95" s="1"/>
  <c r="K6" i="99" l="1"/>
  <c r="Q16" i="91" s="1"/>
  <c r="L6" i="99"/>
  <c r="AP13" i="99"/>
  <c r="AL13" i="99" s="1"/>
  <c r="L7" i="99"/>
  <c r="AL14" i="95"/>
  <c r="AC9" i="99" l="1"/>
  <c r="K7" i="99" s="1"/>
  <c r="BE40" i="91"/>
  <c r="BE36" i="91"/>
  <c r="AK136" i="91" s="1"/>
  <c r="BE32" i="91"/>
  <c r="AC9" i="95"/>
  <c r="L6" i="95" s="1"/>
  <c r="AI61" i="91" l="1"/>
  <c r="AI58" i="91"/>
  <c r="AM90" i="91" s="1"/>
  <c r="AK137" i="91"/>
  <c r="T25" i="91"/>
  <c r="AB25" i="91" s="1"/>
  <c r="Y17" i="91"/>
  <c r="AK131" i="91" s="1"/>
  <c r="AK24" i="91" a="1"/>
  <c r="AK24" i="91" s="1"/>
  <c r="AM69" i="91" l="1"/>
  <c r="AM73" i="91"/>
  <c r="BB65" i="91"/>
  <c r="AK56" i="91" s="1"/>
  <c r="AK139" i="91" s="1"/>
  <c r="AM83" i="91"/>
  <c r="AM81" i="91"/>
  <c r="AM65" i="91"/>
  <c r="AK134" i="91"/>
  <c r="AM77" i="91" l="1"/>
  <c r="AK96" i="91"/>
  <c r="AK140" i="9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22" authorId="0" shapeId="0" xr:uid="{7B9EF07D-0B00-4990-B1F3-68099B411EEC}">
      <text>
        <r>
          <rPr>
            <sz val="9"/>
            <color indexed="81"/>
            <rFont val="MS P ゴシック"/>
            <family val="3"/>
            <charset val="128"/>
          </rPr>
          <t>13桁の法人番号を入力してください
（13桁の入力以外は受け付けません。</t>
        </r>
        <r>
          <rPr>
            <sz val="11"/>
            <color indexed="81"/>
            <rFont val="MS P ゴシック"/>
            <family val="3"/>
            <charset val="128"/>
          </rPr>
          <t>）</t>
        </r>
      </text>
    </comment>
    <comment ref="L24" authorId="0" shapeId="0" xr:uid="{0C947B04-1888-4F03-996B-B882144228C9}">
      <text>
        <r>
          <rPr>
            <sz val="9"/>
            <color indexed="81"/>
            <rFont val="MS P ゴシック"/>
            <family val="3"/>
            <charset val="128"/>
          </rPr>
          <t>社会保険労務士事務所等の担当者の
氏名・連絡先を記入しても構いません。</t>
        </r>
      </text>
    </comment>
    <comment ref="A34" authorId="0" shapeId="0" xr:uid="{C2DF05A2-19EC-4FB0-95B9-0DEBEFCA7E0F}">
      <text>
        <r>
          <rPr>
            <sz val="9"/>
            <color indexed="81"/>
            <rFont val="MS P ゴシック"/>
            <family val="3"/>
            <charset val="128"/>
          </rPr>
          <t xml:space="preserve">集計の都合上、介護予防サービスであり、短期利用型サービスである事業所については、双方の欄に１と計上されますのでご注意ください。
</t>
        </r>
      </text>
    </comment>
    <comment ref="B38" authorId="0" shapeId="0" xr:uid="{3287E451-CA2D-466D-A142-2C761E338E4B}">
      <text>
        <r>
          <rPr>
            <sz val="8"/>
            <color indexed="81"/>
            <rFont val="MS P ゴシック"/>
            <family val="3"/>
            <charset val="128"/>
          </rPr>
          <t>10桁の事業所番号を入力してください（10桁の入力以外は受け付けません。）</t>
        </r>
      </text>
    </comment>
    <comment ref="L38" authorId="0" shapeId="0" xr:uid="{CD82ABF1-5ED4-4008-A612-751050E63F1E}">
      <text>
        <r>
          <rPr>
            <sz val="8"/>
            <color indexed="81"/>
            <rFont val="MS P ゴシック"/>
            <family val="3"/>
            <charset val="128"/>
          </rPr>
          <t>指定申請等の届出先を記入してください。
地域密着型サービスや総合事業については、指定元の市町村を全て記載してください。
その際、地域単価が同一の場合は指定権者ごとに行を分ける必要はありません。</t>
        </r>
      </text>
    </comment>
    <comment ref="Z38" authorId="0" shapeId="0" xr:uid="{B4BE1C6A-BD1F-478F-9BBD-EBF97D53A0C5}">
      <text>
        <r>
          <rPr>
            <sz val="8"/>
            <color indexed="81"/>
            <rFont val="MS P ゴシック"/>
            <family val="3"/>
            <charset val="128"/>
          </rPr>
          <t>必ずプルダウンで入力してください。</t>
        </r>
        <r>
          <rPr>
            <b/>
            <u/>
            <sz val="8"/>
            <color indexed="81"/>
            <rFont val="MS P ゴシック"/>
            <family val="3"/>
            <charset val="128"/>
          </rPr>
          <t xml:space="preserve">
介護予防、短期利用型、短期入所・総合事業については、行を分けてください</t>
        </r>
        <r>
          <rPr>
            <b/>
            <u/>
            <sz val="9"/>
            <color indexed="81"/>
            <rFont val="MS P ゴシック"/>
            <family val="3"/>
            <charset val="128"/>
          </rPr>
          <t xml:space="preserve">。
</t>
        </r>
      </text>
    </comment>
    <comment ref="AG38" authorId="0" shapeId="0" xr:uid="{3E716A8D-7422-4E40-96ED-E9277F1ABF32}">
      <text>
        <r>
          <rPr>
            <sz val="8"/>
            <color indexed="81"/>
            <rFont val="MS P ゴシック"/>
            <family val="3"/>
            <charset val="128"/>
          </rPr>
          <t xml:space="preserve">所在地・サービス名に応じて地域単価が自動入力されます。
</t>
        </r>
        <r>
          <rPr>
            <b/>
            <u/>
            <sz val="8"/>
            <color indexed="81"/>
            <rFont val="MS P ゴシック"/>
            <family val="3"/>
            <charset val="128"/>
          </rPr>
          <t>総合事業については、「数式を削除して手入力」という記載が表示されるため、市町村において設定されている単価を記載してください。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5" authorId="0" shapeId="0" xr:uid="{99D4EE14-89D6-4CFA-9D5E-A7E43B6C84C7}">
      <text>
        <r>
          <rPr>
            <sz val="10"/>
            <color rgb="FF000000"/>
            <rFont val="MS P ゴシック"/>
            <family val="3"/>
            <charset val="128"/>
          </rPr>
          <t xml:space="preserve">本別紙様式２-１を完成させるには、「基本情報入力シート」「別紙様式２-２」「別紙様式２-３」から転記される情報が必要です。
</t>
        </r>
        <r>
          <rPr>
            <b/>
            <u/>
            <sz val="10"/>
            <color rgb="FF000000"/>
            <rFont val="MS P ゴシック"/>
            <family val="3"/>
            <charset val="128"/>
          </rPr>
          <t>まずは他のシートを完成させてください。</t>
        </r>
      </text>
    </comment>
    <comment ref="Q16" authorId="0" shapeId="0" xr:uid="{B1516DFB-1FBA-4831-AB61-8E52749EE9B1}">
      <text>
        <r>
          <rPr>
            <sz val="9"/>
            <color rgb="FF000000"/>
            <rFont val="MS P ゴシック"/>
            <family val="3"/>
            <charset val="128"/>
          </rPr>
          <t>別紙様式２－２、２－３に記入した内容に基づき、令和８年度の加算の見込額の合計が自動で表示されます。</t>
        </r>
      </text>
    </comment>
    <comment ref="Q17" authorId="0" shapeId="0" xr:uid="{F76F7606-8A7D-4925-A20D-7695194A37BA}">
      <text>
        <r>
          <rPr>
            <sz val="9"/>
            <color rgb="FF000000"/>
            <rFont val="MS P ゴシック"/>
            <charset val="128"/>
          </rPr>
          <t>事業者等において推計した加算による賃金改善の見込額を、直接記入してください。
推計の具体的な方法は問いませんが、加算を原資として行う各職員の賃金改善の見込額を積み上げる（足し上げる）などの方法により推計してください。
令和７年度と比較して、職員の賃下げにならないような計画としてください。</t>
        </r>
      </text>
    </comment>
    <comment ref="Z25" authorId="0" shapeId="0" xr:uid="{34D6184F-DF78-4B8C-AC1C-A53576D53285}">
      <text>
        <r>
          <rPr>
            <sz val="9"/>
            <color rgb="FF000000"/>
            <rFont val="MS P ゴシック"/>
            <family val="3"/>
            <charset val="128"/>
          </rPr>
          <t>別紙様式２－２、２－３に記入した内容をもとに、令和８年４月以降の12か月分の値が自動で入力されます。</t>
        </r>
      </text>
    </comment>
    <comment ref="Z26" authorId="0" shapeId="0" xr:uid="{934FB871-59EE-42E3-852E-9D7B801CD1A2}">
      <text>
        <r>
          <rPr>
            <sz val="9"/>
            <color rgb="FF000000"/>
            <rFont val="MS P ゴシック"/>
            <family val="3"/>
            <charset val="128"/>
          </rPr>
          <t>令和７年度以前から算定していた部分の配分も含め、令和８年４月以降の処遇改善加算の配分方法のうち、
基本給等（基本給又は決まって毎月支払われる手当）で行っている賃金改善の総額を記入してください。
※基本情報入力シートにおいて、令和８年６月から新たに処遇改善加算の対象となる以下のサービスのみ記載している場合は、月額賃金改善要件を満たす必要はありませんので、「0」を入力してください。
　（令和８年６月から処遇改善加算が創設されるサービス）
　（介護予防）訪問介護、（介護予防）訪問リハビリテーション、居宅介護支援、介護予防支援、介護予防ケアマネジメント</t>
        </r>
      </text>
    </comment>
    <comment ref="B53" authorId="0" shapeId="0" xr:uid="{FD075545-1E6C-49E0-9F01-AE36D059C2CC}">
      <text>
        <r>
          <rPr>
            <b/>
            <sz val="10"/>
            <color indexed="81"/>
            <rFont val="MS P ゴシック"/>
            <family val="3"/>
            <charset val="128"/>
          </rPr>
          <t>職場環境等要件として実施する取組について、表に「✔（チェック）」又は「誓約」をしてください。</t>
        </r>
      </text>
    </comment>
    <comment ref="B130" authorId="0" shapeId="0" xr:uid="{3EAB14A3-8461-4C5C-8F47-B6F2B0868893}">
      <text>
        <r>
          <rPr>
            <sz val="9"/>
            <color rgb="FF000000"/>
            <rFont val="MS P ゴシック"/>
            <charset val="128"/>
          </rPr>
          <t>空欄が表示される項目は、記入が不要のため、</t>
        </r>
        <r>
          <rPr>
            <sz val="9"/>
            <color rgb="FF000000"/>
            <rFont val="MS P ゴシック"/>
            <charset val="128"/>
          </rPr>
          <t xml:space="preserve">
</t>
        </r>
        <r>
          <rPr>
            <sz val="9"/>
            <color rgb="FF000000"/>
            <rFont val="MS P ゴシック"/>
            <charset val="128"/>
          </rPr>
          <t>対応する必要はありません。</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P10" authorId="0" shapeId="0" xr:uid="{1AE6F076-45C7-4DF6-B727-A0F20D043CF9}">
      <text>
        <r>
          <rPr>
            <sz val="11"/>
            <color indexed="81"/>
            <rFont val="MS P ゴシック"/>
            <family val="3"/>
            <charset val="128"/>
          </rPr>
          <t>各加算の「算定対象月」（通常は４月～５月）を記入してください。
※「賃金改善実施期間」ではありません。
※年度中に区分変更を行う場合、基本情報入力シートに当該事業所の記載を一行追加し、区分変更前の算定状況と変更後の算定状況を各行に記載してください。</t>
        </r>
      </text>
    </comment>
    <comment ref="AG11" authorId="0" shapeId="0" xr:uid="{B0D56FCC-15ED-4514-BFD6-F0AC465947D0}">
      <text>
        <r>
          <rPr>
            <sz val="11"/>
            <color indexed="81"/>
            <rFont val="MS P ゴシック"/>
            <family val="3"/>
            <charset val="128"/>
          </rPr>
          <t>・当該事業所に従事する経験・技能のある介護職員のうち改善後の賃金が年額440万円以上となる見込みの者の実人数を記載してください。
・要件を満たす職員が複数の事業所に兼務している場合には、いずれか１か所で１人と計上して下さい。（同一職員の重複計上は不可。なお、同一事業所であって、地域単価が異なるため複数行を作成している場合や、区分変更のため複数行を作成している場合は可。）
・</t>
        </r>
        <r>
          <rPr>
            <b/>
            <sz val="11"/>
            <color indexed="81"/>
            <rFont val="MS P ゴシック"/>
            <family val="3"/>
            <charset val="128"/>
          </rPr>
          <t>法人単位で申請を行う場合、年額440 万円の要件を満たす者の設定・確保を行うに当たっては、法人全体で、一括して申請する事業所の数以上、要件を満たす職員が設定されていればよいとしていることを踏まえ、例えば以下のように入力して差し支えありません（令和８年度処遇改善加算ＱＡ（第１版）５－２参照）</t>
        </r>
        <r>
          <rPr>
            <sz val="11"/>
            <color indexed="81"/>
            <rFont val="MS P ゴシック"/>
            <family val="3"/>
            <charset val="128"/>
          </rPr>
          <t xml:space="preserve">
　（例）５事業所（Ａ～Ｅ事業所）について一括して申請する場合、Ａ事業所で年額440万円以上となる見込みの者を５人配置している場合は、
　　　　Ｂ～Ｅ事業所については年額440万円以上となる見込みの者について「０」人を選択し、「その他（小規模等により適用除外）」を選択するとともに、
　　　　総括表「改善後の賃金が年額440万円以上となる者」を設定できない場合その理由として「その他」を選択・自由記述欄に理由（ＱＡ○－○に該当等）を記載する　等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t>
        </r>
        <r>
          <rPr>
            <b/>
            <sz val="11"/>
            <color indexed="81"/>
            <rFont val="MS P ゴシック"/>
            <family val="3"/>
            <charset val="128"/>
          </rPr>
          <t>　</t>
        </r>
        <r>
          <rPr>
            <b/>
            <u/>
            <sz val="11"/>
            <color indexed="81"/>
            <rFont val="MS P ゴシック"/>
            <family val="3"/>
            <charset val="128"/>
          </rPr>
          <t xml:space="preserve">関数の都合上一律にセルに色が付きますので、例えば以下のように入力して差し支えありません（令和８年度処遇改善加算ＱＡ（第１版）５－５，６参照）
</t>
        </r>
        <r>
          <rPr>
            <b/>
            <sz val="11"/>
            <color indexed="81"/>
            <rFont val="MS P ゴシック"/>
            <family val="3"/>
            <charset val="128"/>
          </rPr>
          <t>　（例）
　・同一事業所とみなす一体的に運営されている本体の入力内容と同一の内容を入力する
　・年額440万円以上となる見込みの者について「０」人を選択し、「その他（小規模等により適用除外）」を選択するとともに、
　　総括表「改善後の賃金が年額440万円以上となる者」を設定できない場合その理由として「その他」を選択・自由記述欄に理由（ＱＡ○－○に該当等）を記載する　等</t>
        </r>
        <r>
          <rPr>
            <sz val="11"/>
            <color indexed="81"/>
            <rFont val="MS P ゴシック"/>
            <family val="3"/>
            <charset val="128"/>
          </rPr>
          <t xml:space="preserve">
・単独型の短期入所生活介護事業所や、単独で運営している総合事業の事業所など、上記のサービス類型のうち一体的に運営されている本体サービスがない場合には、
　当該事業所でキャリアパス要件Ⅳを満たす職員数について、当該事業所の行に直接記入するようにしてください。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P10" authorId="0" shapeId="0" xr:uid="{031A708D-17D3-4692-B2EA-E46F064BB35E}">
      <text>
        <r>
          <rPr>
            <sz val="11"/>
            <color indexed="81"/>
            <rFont val="MS P ゴシック"/>
            <family val="3"/>
            <charset val="128"/>
          </rPr>
          <t>各加算の「算定対象月」（通常は６月～翌年３月）を記入してください。
※「賃金改善実施期間」ではありません。
※年度中に区分変更を行う場合、基本情報入力シートに当該事業所の記載を一行追加し、区分変更前の算定状況と変更後の算定状況を各行に記載してください。</t>
        </r>
      </text>
    </comment>
    <comment ref="AG11" authorId="0" shapeId="0" xr:uid="{F8AF285C-C8CA-487B-8743-02A586639E3D}">
      <text>
        <r>
          <rPr>
            <sz val="11"/>
            <color indexed="81"/>
            <rFont val="MS P ゴシック"/>
            <family val="3"/>
            <charset val="128"/>
          </rPr>
          <t>・当該事業所に従事する経験・技能のある介護職員のうち改善後の賃金が年額440万円以上となる見込みの者の実人数を記載してください。
・要件を満たす職員が複数の事業所に兼務している場合には、いずれか１か所で１人と計上して下さい。（同一職員の重複計上は不可。なお、同一事業所であって、地域単価が異なるため複数行を作成している場合や、区分変更のため複数行を作成している場合は可。）
・法人単位で申請を行う場合、年額440 万円の要件を満たす者の設定・確保を行うに当たっては、法人全体で、一括して申請する事業所の数以上、要件を満たす職員が設定されていればよいとしていることを踏まえ、例えば以下のように入力して差し支えありません（令和８年度処遇改善加算ＱＡ（第１版）５－２参照）
　（例）５事業所（Ａ～Ｅ事業所）について一括して申請する場合、Ａ事業所で年額440万円以上となる見込みの者を５人配置している場合は、
　　　　Ｂ～Ｅ事業所については年額440万円以上となる見込みの者について「０」人を選択し、「その他（小規模等により適用除外）」を選択するとともに、
　　　　総括表「改善後の賃金が年額440万円以上となる者」を設定できない場合その理由として「その他」を選択・自由記述欄に理由（ＱＡ○－○に該当等）を記載する　等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関数の都合上一律にセルに色が付きますので、例えば以下のように入力して差し支えありません（令和８年度処遇改善加算ＱＡ（第１版）５－５，６参照）
　（例）
　・同一事業所とみなす一体的に運営されている本体の入力内容と同一の内容を入力する
　・年額440万円以上となる見込みの者について「０」人を選択し、「その他（小規模等により適用除外）」を選択するとともに、
　　総括表「改善後の賃金が年額440万円以上となる者」を設定できない場合その理由として「その他」を選択・自由記述欄に理由（ＱＡ○－○に該当等）を記載する　等
・単独型の短期入所生活介護事業所や、単独で運営している総合事業の事業所など、上記のサービス類型のうち一体的に運営されている本体サービスがない場合には、
　当該事業所でキャリアパス要件Ⅳを満たす職員数について、当該事業所の行に直接記入するようにしてください。</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<sst xmlns="http://schemas.openxmlformats.org/spreadsheetml/2006/main" count="7667" uniqueCount="2490">
  <si>
    <t>計画書（介護職員等処遇改善加算）
基本情報入力シート</t>
    <rPh sb="4" eb="6">
      <t>カイゴ</t>
    </rPh>
    <rPh sb="6" eb="8">
      <t>ショクイン</t>
    </rPh>
    <rPh sb="8" eb="9">
      <t>トウ</t>
    </rPh>
    <rPh sb="9" eb="11">
      <t>ショグウ</t>
    </rPh>
    <rPh sb="11" eb="13">
      <t>カイゼン</t>
    </rPh>
    <rPh sb="13" eb="15">
      <t>カサン</t>
    </rPh>
    <phoneticPr fontId="12"/>
  </si>
  <si>
    <t>↓隠し列</t>
    <rPh sb="1" eb="2">
      <t>カク</t>
    </rPh>
    <rPh sb="3" eb="4">
      <t>レツ</t>
    </rPh>
    <phoneticPr fontId="12"/>
  </si>
  <si>
    <t>●はじめに本シート（基本情報入力シート）のセルに入力することで、申請対象となる事業所等に関する基本的な情報が、各シートに自動的に転記されます。</t>
    <phoneticPr fontId="12"/>
  </si>
  <si>
    <t>【重要】本計画書は、介護職員等処遇改善加算の申請様式です。</t>
    <rPh sb="4" eb="5">
      <t>ホン</t>
    </rPh>
    <rPh sb="5" eb="8">
      <t>ケイカクショ</t>
    </rPh>
    <rPh sb="10" eb="21">
      <t>カイゴショクイントウショグウカイゼンカサン</t>
    </rPh>
    <rPh sb="22" eb="24">
      <t>シンセイ</t>
    </rPh>
    <rPh sb="24" eb="26">
      <t>ヨウシキ</t>
    </rPh>
    <phoneticPr fontId="12"/>
  </si>
  <si>
    <r>
      <t>●自動転記の仕組みを活用するため、下記の作業フローに基づき、シートを完成させてください。
●「提出先の自治体名」を記入すると、</t>
    </r>
    <r>
      <rPr>
        <sz val="11"/>
        <rFont val="ＭＳ Ｐゴシック"/>
        <family val="3"/>
        <charset val="128"/>
      </rPr>
      <t xml:space="preserve">別紙2-2及び2-3までの「提出先」欄も、自動で更新されます。
　提出先が正しく記入されていることを必ずご確認ください。
</t>
    </r>
    <rPh sb="17" eb="19">
      <t>カキ</t>
    </rPh>
    <rPh sb="20" eb="22">
      <t>サギョウ</t>
    </rPh>
    <rPh sb="26" eb="27">
      <t>モト</t>
    </rPh>
    <rPh sb="68" eb="69">
      <t>オヨ</t>
    </rPh>
    <phoneticPr fontId="12"/>
  </si>
  <si>
    <t>１　提出先に関する情報</t>
    <rPh sb="2" eb="4">
      <t>テイシュツ</t>
    </rPh>
    <rPh sb="4" eb="5">
      <t>サキ</t>
    </rPh>
    <rPh sb="6" eb="7">
      <t>カン</t>
    </rPh>
    <rPh sb="9" eb="11">
      <t>ジョウホウ</t>
    </rPh>
    <phoneticPr fontId="4"/>
  </si>
  <si>
    <t>加算の届出に係る提出先（指定権者）を入力してください。</t>
    <rPh sb="0" eb="2">
      <t>カサン</t>
    </rPh>
    <rPh sb="3" eb="5">
      <t>トドケデ</t>
    </rPh>
    <rPh sb="6" eb="7">
      <t>カカ</t>
    </rPh>
    <rPh sb="8" eb="10">
      <t>テイシュツ</t>
    </rPh>
    <rPh sb="10" eb="11">
      <t>サキ</t>
    </rPh>
    <rPh sb="12" eb="16">
      <t>シテイケンジャ</t>
    </rPh>
    <rPh sb="18" eb="20">
      <t>ニュウリョク</t>
    </rPh>
    <phoneticPr fontId="12"/>
  </si>
  <si>
    <t>提出先</t>
    <rPh sb="0" eb="2">
      <t>テイシュツ</t>
    </rPh>
    <rPh sb="2" eb="3">
      <t>サキ</t>
    </rPh>
    <phoneticPr fontId="12"/>
  </si>
  <si>
    <t>２　基本情報</t>
    <rPh sb="2" eb="4">
      <t>キホン</t>
    </rPh>
    <rPh sb="4" eb="6">
      <t>ジョウホウ</t>
    </rPh>
    <phoneticPr fontId="6"/>
  </si>
  <si>
    <t>下表に必要事項を入力してください。記入内容が各様式に反映されます。</t>
    <phoneticPr fontId="12"/>
  </si>
  <si>
    <t>法人名</t>
    <phoneticPr fontId="12"/>
  </si>
  <si>
    <t>フリガナ</t>
    <phoneticPr fontId="12"/>
  </si>
  <si>
    <t>名称</t>
    <rPh sb="0" eb="2">
      <t>メイショウ</t>
    </rPh>
    <phoneticPr fontId="12"/>
  </si>
  <si>
    <t>法人住所</t>
    <phoneticPr fontId="12"/>
  </si>
  <si>
    <t>〒</t>
    <phoneticPr fontId="12"/>
  </si>
  <si>
    <t>-</t>
    <phoneticPr fontId="12"/>
  </si>
  <si>
    <t>〒結合</t>
    <rPh sb="1" eb="3">
      <t>ケツゴウ</t>
    </rPh>
    <phoneticPr fontId="12"/>
  </si>
  <si>
    <t>住所１（番地・住居番号まで）</t>
    <rPh sb="0" eb="2">
      <t>ジュウショ</t>
    </rPh>
    <rPh sb="4" eb="6">
      <t>バンチ</t>
    </rPh>
    <rPh sb="7" eb="9">
      <t>ジュウキョ</t>
    </rPh>
    <rPh sb="9" eb="11">
      <t>バンゴウ</t>
    </rPh>
    <phoneticPr fontId="12"/>
  </si>
  <si>
    <t>住所２（建物名等）</t>
    <rPh sb="0" eb="2">
      <t>ジュウショ</t>
    </rPh>
    <rPh sb="4" eb="6">
      <t>タテモノ</t>
    </rPh>
    <rPh sb="6" eb="7">
      <t>メイ</t>
    </rPh>
    <rPh sb="7" eb="8">
      <t>トウ</t>
    </rPh>
    <phoneticPr fontId="12"/>
  </si>
  <si>
    <t>法人
代表者</t>
    <phoneticPr fontId="12"/>
  </si>
  <si>
    <t>職名</t>
    <rPh sb="0" eb="2">
      <t>ショクメイ</t>
    </rPh>
    <phoneticPr fontId="12"/>
  </si>
  <si>
    <t>氏名</t>
    <rPh sb="0" eb="2">
      <t>シメイ</t>
    </rPh>
    <phoneticPr fontId="12"/>
  </si>
  <si>
    <t>法人番号</t>
    <phoneticPr fontId="12"/>
  </si>
  <si>
    <t>書類作成
担当者</t>
    <phoneticPr fontId="12"/>
  </si>
  <si>
    <t>連絡先</t>
    <phoneticPr fontId="12"/>
  </si>
  <si>
    <t>電話番号</t>
    <rPh sb="0" eb="2">
      <t>デンワ</t>
    </rPh>
    <rPh sb="2" eb="4">
      <t>バンゴウ</t>
    </rPh>
    <phoneticPr fontId="12"/>
  </si>
  <si>
    <t>E-mail</t>
    <phoneticPr fontId="12"/>
  </si>
  <si>
    <t>３　加算の対象事業所に関する情報</t>
    <rPh sb="2" eb="4">
      <t>カサン</t>
    </rPh>
    <phoneticPr fontId="12"/>
  </si>
  <si>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12"/>
  </si>
  <si>
    <t>※　「一月あたり介護報酬総単位数[単位]」は、 一月あたり介護報酬総単位数として見込まれる単位数を、前年１月から12月までの12か月間の介護報酬総単位数（処遇改善加算等の各種加算減算を含む。）を12で除するなどの適切な方法によって推計し、事業所ごとに記載してください。
　また、「一月あたり処遇改善加算の加算単位数[単位]」は、前年１月から12月までの処遇改善加算の単位数の合計を12で除するなどの方法によって推計し、事業所ごとに記載してください。
　なお、令和８年度に事業拡大等に伴う単位数の増減が見込まれる場合には、加算についての適切な計画を策定するため、それらの増減の見込を反映させる等の調整を行っても差し支えありません。</t>
    <phoneticPr fontId="12"/>
  </si>
  <si>
    <t>介護予防や短期利用型サービス含め、記入漏れがないことを確認しました。</t>
    <rPh sb="0" eb="2">
      <t>カイゴ</t>
    </rPh>
    <rPh sb="2" eb="4">
      <t>ヨボウ</t>
    </rPh>
    <rPh sb="5" eb="7">
      <t>タンキ</t>
    </rPh>
    <rPh sb="7" eb="10">
      <t>リヨウガタ</t>
    </rPh>
    <rPh sb="14" eb="15">
      <t>フク</t>
    </rPh>
    <rPh sb="17" eb="19">
      <t>キニュウ</t>
    </rPh>
    <rPh sb="19" eb="20">
      <t>モ</t>
    </rPh>
    <rPh sb="27" eb="29">
      <t>カクニン</t>
    </rPh>
    <phoneticPr fontId="12"/>
  </si>
  <si>
    <t>（記入済みのサービスの事業所数）</t>
    <rPh sb="1" eb="3">
      <t>キニュウ</t>
    </rPh>
    <rPh sb="3" eb="4">
      <t>ス</t>
    </rPh>
    <rPh sb="11" eb="14">
      <t>ジギョウショ</t>
    </rPh>
    <rPh sb="14" eb="15">
      <t>スウ</t>
    </rPh>
    <phoneticPr fontId="12"/>
  </si>
  <si>
    <t>介護予防サービスの事業所数</t>
    <rPh sb="0" eb="2">
      <t>カイゴ</t>
    </rPh>
    <rPh sb="2" eb="4">
      <t>ヨボウ</t>
    </rPh>
    <rPh sb="9" eb="12">
      <t>ジギョウショ</t>
    </rPh>
    <rPh sb="12" eb="13">
      <t>スウ</t>
    </rPh>
    <phoneticPr fontId="12"/>
  </si>
  <si>
    <t>件</t>
    <rPh sb="0" eb="1">
      <t>ケン</t>
    </rPh>
    <phoneticPr fontId="12"/>
  </si>
  <si>
    <t>短期利用型サービスの事業所数</t>
    <rPh sb="0" eb="5">
      <t>タンキリヨウガタ</t>
    </rPh>
    <rPh sb="10" eb="13">
      <t>ジギョウショ</t>
    </rPh>
    <rPh sb="13" eb="14">
      <t>スウ</t>
    </rPh>
    <phoneticPr fontId="12"/>
  </si>
  <si>
    <t>総合事業サービスの事業所数</t>
    <rPh sb="0" eb="2">
      <t>ソウゴウ</t>
    </rPh>
    <rPh sb="2" eb="4">
      <t>ジギョウ</t>
    </rPh>
    <rPh sb="9" eb="12">
      <t>ジギョウショ</t>
    </rPh>
    <rPh sb="12" eb="13">
      <t>スウ</t>
    </rPh>
    <phoneticPr fontId="12"/>
  </si>
  <si>
    <t>その他サービスの事業所数</t>
    <rPh sb="2" eb="3">
      <t>タ</t>
    </rPh>
    <rPh sb="8" eb="11">
      <t>ジギョウショ</t>
    </rPh>
    <rPh sb="11" eb="12">
      <t>スウ</t>
    </rPh>
    <phoneticPr fontId="12"/>
  </si>
  <si>
    <t>番号</t>
    <rPh sb="0" eb="2">
      <t>バンゴウ</t>
    </rPh>
    <phoneticPr fontId="12"/>
  </si>
  <si>
    <t>介護保険事業所番号</t>
    <rPh sb="0" eb="2">
      <t>カイゴ</t>
    </rPh>
    <rPh sb="2" eb="4">
      <t>ホケン</t>
    </rPh>
    <rPh sb="4" eb="6">
      <t>ジギョウ</t>
    </rPh>
    <rPh sb="6" eb="7">
      <t>ショ</t>
    </rPh>
    <rPh sb="7" eb="9">
      <t>バンゴウ</t>
    </rPh>
    <phoneticPr fontId="12"/>
  </si>
  <si>
    <t>指定権者名</t>
    <rPh sb="0" eb="2">
      <t>シテイ</t>
    </rPh>
    <rPh sb="2" eb="3">
      <t>ケン</t>
    </rPh>
    <rPh sb="3" eb="4">
      <t>ジャ</t>
    </rPh>
    <rPh sb="4" eb="5">
      <t>メイ</t>
    </rPh>
    <phoneticPr fontId="12"/>
  </si>
  <si>
    <t>事業所の所在地</t>
    <rPh sb="0" eb="3">
      <t>ジギョウショ</t>
    </rPh>
    <rPh sb="4" eb="7">
      <t>ショザイチ</t>
    </rPh>
    <phoneticPr fontId="12"/>
  </si>
  <si>
    <t>事業所名</t>
    <rPh sb="0" eb="2">
      <t>ジギョウ</t>
    </rPh>
    <rPh sb="2" eb="3">
      <t>ショ</t>
    </rPh>
    <rPh sb="3" eb="4">
      <t>メイ</t>
    </rPh>
    <phoneticPr fontId="12"/>
  </si>
  <si>
    <t>サービス名</t>
    <rPh sb="4" eb="5">
      <t>メイ</t>
    </rPh>
    <phoneticPr fontId="12"/>
  </si>
  <si>
    <t>サービスコード</t>
    <phoneticPr fontId="12"/>
  </si>
  <si>
    <t>一月あたり介護報酬総単位数[単位]</t>
    <phoneticPr fontId="12"/>
  </si>
  <si>
    <t>一月あたり処遇改善加算の加算単位数[単位]</t>
    <phoneticPr fontId="12"/>
  </si>
  <si>
    <t>一月あたり介護報酬総単位数（処遇改善加算を除く）[単位]</t>
    <rPh sb="14" eb="18">
      <t>ショグウカイゼン</t>
    </rPh>
    <rPh sb="18" eb="20">
      <t>カサン</t>
    </rPh>
    <rPh sb="21" eb="22">
      <t>ノゾ</t>
    </rPh>
    <phoneticPr fontId="12"/>
  </si>
  <si>
    <t>１単位あたりの単価
（地域単価）
[円]</t>
    <rPh sb="1" eb="3">
      <t>タンイ</t>
    </rPh>
    <rPh sb="7" eb="9">
      <t>タンカ</t>
    </rPh>
    <rPh sb="11" eb="13">
      <t>チイキ</t>
    </rPh>
    <rPh sb="13" eb="15">
      <t>タンカ</t>
    </rPh>
    <rPh sb="18" eb="19">
      <t>エン</t>
    </rPh>
    <phoneticPr fontId="12"/>
  </si>
  <si>
    <t>都道府県</t>
    <rPh sb="0" eb="4">
      <t>トドウフケン</t>
    </rPh>
    <phoneticPr fontId="12"/>
  </si>
  <si>
    <t>市区町村</t>
    <rPh sb="0" eb="2">
      <t>シク</t>
    </rPh>
    <rPh sb="2" eb="4">
      <t>チョウソン</t>
    </rPh>
    <phoneticPr fontId="12"/>
  </si>
  <si>
    <t>別紙様式２－１ （処遇改善加算　総括表）</t>
    <rPh sb="0" eb="2">
      <t>ベッシ</t>
    </rPh>
    <rPh sb="2" eb="4">
      <t>ヨウシキ</t>
    </rPh>
    <rPh sb="9" eb="11">
      <t>ショグウ</t>
    </rPh>
    <rPh sb="11" eb="13">
      <t>カイゼン</t>
    </rPh>
    <rPh sb="13" eb="15">
      <t>カサン</t>
    </rPh>
    <rPh sb="16" eb="19">
      <t>ソウカツヒョウ</t>
    </rPh>
    <phoneticPr fontId="12"/>
  </si>
  <si>
    <t>介護職員等処遇改善加算 処遇改善計画書（令和８年度）</t>
    <phoneticPr fontId="12"/>
  </si>
  <si>
    <t>１　基本情報</t>
    <rPh sb="2" eb="4">
      <t>キホン</t>
    </rPh>
    <rPh sb="4" eb="6">
      <t>ジョウホウ</t>
    </rPh>
    <phoneticPr fontId="12"/>
  </si>
  <si>
    <t>法人名</t>
    <rPh sb="0" eb="2">
      <t>ホウジン</t>
    </rPh>
    <rPh sb="2" eb="3">
      <t>メイ</t>
    </rPh>
    <phoneticPr fontId="12"/>
  </si>
  <si>
    <t>法人所在地</t>
    <rPh sb="0" eb="2">
      <t>ホウジン</t>
    </rPh>
    <rPh sb="2" eb="5">
      <t>ショザイチ</t>
    </rPh>
    <phoneticPr fontId="12"/>
  </si>
  <si>
    <t>書類作成担当者</t>
    <rPh sb="0" eb="2">
      <t>ショルイ</t>
    </rPh>
    <rPh sb="2" eb="4">
      <t>サクセイ</t>
    </rPh>
    <rPh sb="4" eb="7">
      <t>タントウシャ</t>
    </rPh>
    <phoneticPr fontId="12"/>
  </si>
  <si>
    <t>連絡先</t>
    <rPh sb="0" eb="3">
      <t>レンラクサキ</t>
    </rPh>
    <phoneticPr fontId="12"/>
  </si>
  <si>
    <t>２　賃金改善計画：加算額以上の賃金改善について（全体）</t>
    <rPh sb="9" eb="11">
      <t>カサン</t>
    </rPh>
    <rPh sb="11" eb="12">
      <t>ガク</t>
    </rPh>
    <rPh sb="12" eb="14">
      <t>イジョウ</t>
    </rPh>
    <rPh sb="15" eb="17">
      <t>チンギン</t>
    </rPh>
    <rPh sb="17" eb="19">
      <t>カイゼン</t>
    </rPh>
    <rPh sb="24" eb="26">
      <t>ゼンタイ</t>
    </rPh>
    <phoneticPr fontId="12"/>
  </si>
  <si>
    <t>令和８年度に賃金改善が必要な額と賃金改善の見込額</t>
    <rPh sb="0" eb="2">
      <t>レイワ</t>
    </rPh>
    <rPh sb="3" eb="5">
      <t>ネンド</t>
    </rPh>
    <rPh sb="6" eb="8">
      <t>チンギン</t>
    </rPh>
    <rPh sb="8" eb="10">
      <t>カイゼン</t>
    </rPh>
    <rPh sb="11" eb="13">
      <t>ヒツヨウ</t>
    </rPh>
    <rPh sb="14" eb="15">
      <t>ガク</t>
    </rPh>
    <rPh sb="16" eb="18">
      <t>チンギン</t>
    </rPh>
    <rPh sb="18" eb="20">
      <t>カイゼン</t>
    </rPh>
    <rPh sb="21" eb="23">
      <t>ミコミ</t>
    </rPh>
    <rPh sb="23" eb="24">
      <t>ガク</t>
    </rPh>
    <phoneticPr fontId="12"/>
  </si>
  <si>
    <t>①</t>
    <phoneticPr fontId="12"/>
  </si>
  <si>
    <t>令和８年度の加算の見込額</t>
    <phoneticPr fontId="12"/>
  </si>
  <si>
    <t>円</t>
    <rPh sb="0" eb="1">
      <t>エン</t>
    </rPh>
    <phoneticPr fontId="12"/>
  </si>
  <si>
    <t>②</t>
    <phoneticPr fontId="12"/>
  </si>
  <si>
    <t>令和８年度の賃金改善の見込額
（①の額以上となること。介護分野の職員の賃上げ・職場環境改善支援事業から賃金に充てた額を除く。）</t>
    <rPh sb="27" eb="29">
      <t>カイゴ</t>
    </rPh>
    <rPh sb="29" eb="31">
      <t>ブンヤ</t>
    </rPh>
    <rPh sb="32" eb="34">
      <t>ショクイン</t>
    </rPh>
    <rPh sb="35" eb="37">
      <t>チンア</t>
    </rPh>
    <rPh sb="39" eb="45">
      <t>ショクバカンキョウカイゼン</t>
    </rPh>
    <rPh sb="45" eb="47">
      <t>シエン</t>
    </rPh>
    <rPh sb="47" eb="49">
      <t>ジギョウ</t>
    </rPh>
    <rPh sb="51" eb="53">
      <t>チンギン</t>
    </rPh>
    <rPh sb="54" eb="55">
      <t>ア</t>
    </rPh>
    <rPh sb="57" eb="58">
      <t>ガク</t>
    </rPh>
    <rPh sb="59" eb="60">
      <t>ノゾ</t>
    </rPh>
    <phoneticPr fontId="12"/>
  </si>
  <si>
    <t>←</t>
    <phoneticPr fontId="12"/>
  </si>
  <si>
    <t>【記入上の注意】</t>
    <rPh sb="1" eb="3">
      <t>キニュウ</t>
    </rPh>
    <rPh sb="3" eb="4">
      <t>ジョウ</t>
    </rPh>
    <rPh sb="5" eb="7">
      <t>チュウイ</t>
    </rPh>
    <phoneticPr fontId="12"/>
  </si>
  <si>
    <t>・</t>
    <phoneticPr fontId="12"/>
  </si>
  <si>
    <t>(b)には、令和８年度に実施する賃金改善の見込額を計算し、記入すること。
その際、加算による賃金改善を行った場合の法定福利費等の事業主負担の増加分を含めることができる。</t>
    <rPh sb="6" eb="8">
      <t>レイワ</t>
    </rPh>
    <rPh sb="9" eb="11">
      <t>ネンド</t>
    </rPh>
    <rPh sb="12" eb="14">
      <t>ジッシ</t>
    </rPh>
    <rPh sb="16" eb="18">
      <t>チンギン</t>
    </rPh>
    <rPh sb="18" eb="20">
      <t>カイゼン</t>
    </rPh>
    <rPh sb="21" eb="23">
      <t>ミコミ</t>
    </rPh>
    <rPh sb="23" eb="24">
      <t>ガク</t>
    </rPh>
    <rPh sb="29" eb="31">
      <t>キニュウ</t>
    </rPh>
    <rPh sb="39" eb="40">
      <t>サイ</t>
    </rPh>
    <phoneticPr fontId="12"/>
  </si>
  <si>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12"/>
  </si>
  <si>
    <t xml:space="preserve">（１）月額賃金改善要件（処遇改善加算Ⅳの1/2以上の月額賃金改善）　
</t>
    <rPh sb="3" eb="5">
      <t>ゲツガク</t>
    </rPh>
    <rPh sb="5" eb="7">
      <t>チンギン</t>
    </rPh>
    <rPh sb="7" eb="9">
      <t>カイゼン</t>
    </rPh>
    <rPh sb="9" eb="11">
      <t>ヨウケン</t>
    </rPh>
    <phoneticPr fontId="12"/>
  </si>
  <si>
    <t>別紙様式2-2、2-3「①月額賃金改善要件」の欄から転記</t>
    <rPh sb="13" eb="15">
      <t>ゲツガク</t>
    </rPh>
    <rPh sb="15" eb="17">
      <t>チンギン</t>
    </rPh>
    <rPh sb="17" eb="19">
      <t>カイゼン</t>
    </rPh>
    <rPh sb="19" eb="21">
      <t>ヨウケン</t>
    </rPh>
    <phoneticPr fontId="12"/>
  </si>
  <si>
    <t>令和８年度の処遇改善加算Ⅳ相当の見込額の１／２</t>
    <rPh sb="13" eb="15">
      <t>ソウトウ</t>
    </rPh>
    <rPh sb="16" eb="18">
      <t>ミコミ</t>
    </rPh>
    <rPh sb="18" eb="19">
      <t>ガク</t>
    </rPh>
    <phoneticPr fontId="12"/>
  </si>
  <si>
    <t>！②が①以上になっていません。</t>
    <phoneticPr fontId="12"/>
  </si>
  <si>
    <t>令和８年度の加算による賃金改善の見込額のうち、月額賃金改善による額 　（①の見込額以上となること）</t>
    <rPh sb="6" eb="8">
      <t>カサン</t>
    </rPh>
    <rPh sb="23" eb="29">
      <t>ゲツガクチンギンカイゼン</t>
    </rPh>
    <rPh sb="32" eb="33">
      <t>ガク</t>
    </rPh>
    <rPh sb="38" eb="40">
      <t>ミコミ</t>
    </rPh>
    <rPh sb="40" eb="41">
      <t>ガク</t>
    </rPh>
    <rPh sb="41" eb="43">
      <t>イジョウ</t>
    </rPh>
    <phoneticPr fontId="12"/>
  </si>
  <si>
    <t>令和８年４月以降の処遇改善加算の配分方法のうち、基本給等（基本給又は決まって毎月支払われる手当）で行っている賃金改善の総額を記入してください。</t>
    <phoneticPr fontId="12"/>
  </si>
  <si>
    <t>４、５月</t>
    <rPh sb="3" eb="4">
      <t>ガツ</t>
    </rPh>
    <phoneticPr fontId="12"/>
  </si>
  <si>
    <t>６月以降</t>
    <rPh sb="1" eb="2">
      <t>ガツ</t>
    </rPh>
    <rPh sb="2" eb="4">
      <t>イコウ</t>
    </rPh>
    <phoneticPr fontId="12"/>
  </si>
  <si>
    <t>（２）キャリアパス要件Ⅰ・Ⅱ（任用要件・賃金体系の整備等、研修の実施等）　</t>
    <rPh sb="9" eb="11">
      <t>ヨウケン</t>
    </rPh>
    <phoneticPr fontId="12"/>
  </si>
  <si>
    <t>処遇改善加算Ⅰ・Ⅱ・Ⅲ・Ⅳを算定する事業所数</t>
    <rPh sb="14" eb="16">
      <t>サンテイ</t>
    </rPh>
    <rPh sb="18" eb="21">
      <t>ジギョウショ</t>
    </rPh>
    <rPh sb="21" eb="22">
      <t>スウ</t>
    </rPh>
    <phoneticPr fontId="12"/>
  </si>
  <si>
    <t>処遇改善加算Ⅰ・Ⅱ・Ⅲ・Ⅳ、新類型処遇改善を算定する事業所数</t>
    <rPh sb="14" eb="15">
      <t>シン</t>
    </rPh>
    <rPh sb="15" eb="17">
      <t>ルイケイ</t>
    </rPh>
    <rPh sb="17" eb="19">
      <t>ショグウ</t>
    </rPh>
    <rPh sb="19" eb="21">
      <t>カイゼン</t>
    </rPh>
    <rPh sb="22" eb="24">
      <t>サンテイ</t>
    </rPh>
    <rPh sb="26" eb="29">
      <t>ジギョウショ</t>
    </rPh>
    <rPh sb="29" eb="30">
      <t>スウ</t>
    </rPh>
    <phoneticPr fontId="12"/>
  </si>
  <si>
    <t>別紙様式2-2、2-3「②・③キャリアパス要件Ⅰ・Ⅱ」の欄から転記（詳しい要件の内容は参考シートを参照）</t>
    <rPh sb="31" eb="33">
      <t>テンキ</t>
    </rPh>
    <phoneticPr fontId="12"/>
  </si>
  <si>
    <t>令和８年度特例要件を満たすことで、当該要件を満たすこととしている事業所等については、
令和９年３月末までに任用要件・賃金体系の整備、研修の実施等を行うことを誓約します。</t>
    <rPh sb="0" eb="2">
      <t>レイワ</t>
    </rPh>
    <rPh sb="3" eb="5">
      <t>ネンド</t>
    </rPh>
    <rPh sb="5" eb="7">
      <t>トクレイ</t>
    </rPh>
    <rPh sb="7" eb="9">
      <t>ヨウケン</t>
    </rPh>
    <rPh sb="10" eb="11">
      <t>ミ</t>
    </rPh>
    <rPh sb="17" eb="19">
      <t>トウガイ</t>
    </rPh>
    <rPh sb="19" eb="21">
      <t>ヨウケン</t>
    </rPh>
    <rPh sb="22" eb="23">
      <t>ミ</t>
    </rPh>
    <rPh sb="32" eb="35">
      <t>ジギョウショ</t>
    </rPh>
    <rPh sb="35" eb="36">
      <t>トウ</t>
    </rPh>
    <rPh sb="43" eb="45">
      <t>レイワ</t>
    </rPh>
    <rPh sb="46" eb="47">
      <t>ネン</t>
    </rPh>
    <rPh sb="48" eb="49">
      <t>ガツ</t>
    </rPh>
    <rPh sb="49" eb="50">
      <t>マツ</t>
    </rPh>
    <rPh sb="53" eb="55">
      <t>ニンヨウ</t>
    </rPh>
    <rPh sb="55" eb="57">
      <t>ヨウケン</t>
    </rPh>
    <rPh sb="58" eb="60">
      <t>チンギン</t>
    </rPh>
    <rPh sb="60" eb="62">
      <t>タイケイ</t>
    </rPh>
    <rPh sb="63" eb="65">
      <t>セイビ</t>
    </rPh>
    <rPh sb="66" eb="68">
      <t>ケンシュウ</t>
    </rPh>
    <rPh sb="69" eb="71">
      <t>ジッシ</t>
    </rPh>
    <rPh sb="71" eb="72">
      <t>トウ</t>
    </rPh>
    <rPh sb="73" eb="74">
      <t>オコナ</t>
    </rPh>
    <rPh sb="78" eb="80">
      <t>セイヤク</t>
    </rPh>
    <phoneticPr fontId="12"/>
  </si>
  <si>
    <t>（３）キャリアパス要件Ⅲ（昇給の仕組みの整備等）</t>
    <rPh sb="9" eb="11">
      <t>ヨウケン</t>
    </rPh>
    <rPh sb="13" eb="15">
      <t>ショウキュウ</t>
    </rPh>
    <rPh sb="16" eb="18">
      <t>シク</t>
    </rPh>
    <rPh sb="20" eb="22">
      <t>セイビ</t>
    </rPh>
    <rPh sb="22" eb="23">
      <t>トウ</t>
    </rPh>
    <phoneticPr fontId="12"/>
  </si>
  <si>
    <t>処遇改善加算Ⅰ・Ⅱ・Ⅲを算定する事業所数</t>
    <rPh sb="12" eb="14">
      <t>サンテイ</t>
    </rPh>
    <rPh sb="16" eb="19">
      <t>ジギョウショ</t>
    </rPh>
    <rPh sb="19" eb="20">
      <t>スウ</t>
    </rPh>
    <phoneticPr fontId="12"/>
  </si>
  <si>
    <t>別紙様式2-2、2-3「④キャリアパス要件Ⅲ」の欄から転記（詳しい要件の内容は参考シートを参照）</t>
    <phoneticPr fontId="12"/>
  </si>
  <si>
    <t>令和８年度特例要件を満たすことで、当該要件を満たすこととしている場合、
令和９年３月末までに昇給の仕組みの整備を行うことを誓約します。</t>
    <rPh sb="0" eb="2">
      <t>レイワ</t>
    </rPh>
    <rPh sb="3" eb="5">
      <t>ネンド</t>
    </rPh>
    <rPh sb="5" eb="7">
      <t>トクレイ</t>
    </rPh>
    <rPh sb="7" eb="9">
      <t>ヨウケン</t>
    </rPh>
    <rPh sb="10" eb="11">
      <t>ミ</t>
    </rPh>
    <rPh sb="17" eb="19">
      <t>トウガイ</t>
    </rPh>
    <rPh sb="19" eb="21">
      <t>ヨウケン</t>
    </rPh>
    <rPh sb="22" eb="23">
      <t>ミ</t>
    </rPh>
    <rPh sb="32" eb="34">
      <t>バアイ</t>
    </rPh>
    <rPh sb="36" eb="38">
      <t>レイワ</t>
    </rPh>
    <rPh sb="39" eb="40">
      <t>ネン</t>
    </rPh>
    <rPh sb="41" eb="42">
      <t>ガツ</t>
    </rPh>
    <rPh sb="42" eb="43">
      <t>マツ</t>
    </rPh>
    <rPh sb="46" eb="48">
      <t>ショウキュウ</t>
    </rPh>
    <rPh sb="49" eb="51">
      <t>シク</t>
    </rPh>
    <rPh sb="53" eb="55">
      <t>セイビ</t>
    </rPh>
    <rPh sb="56" eb="57">
      <t>オコナ</t>
    </rPh>
    <rPh sb="61" eb="63">
      <t>セイヤク</t>
    </rPh>
    <phoneticPr fontId="12"/>
  </si>
  <si>
    <t>（４）キャリアパス要件Ⅳ（改善後の賃金要件）</t>
    <rPh sb="9" eb="11">
      <t>ヨウケン</t>
    </rPh>
    <phoneticPr fontId="12"/>
  </si>
  <si>
    <t>処遇改善加算Ⅰ・Ⅱを算定する事業所数</t>
    <rPh sb="10" eb="12">
      <t>サンテイ</t>
    </rPh>
    <rPh sb="14" eb="17">
      <t>ジギョウショ</t>
    </rPh>
    <rPh sb="17" eb="18">
      <t>スウ</t>
    </rPh>
    <phoneticPr fontId="12"/>
  </si>
  <si>
    <t>別紙様式2-2、2-3「⑤キャリアパス要件Ⅳ」の欄から転記</t>
    <phoneticPr fontId="12"/>
  </si>
  <si>
    <t>令和８年度特例要件を満たすことで、当該要件を満たすこととしている場合、
令和９年３月末までに必要な賃金改善を行うことを誓約します。</t>
    <rPh sb="0" eb="2">
      <t>レイワ</t>
    </rPh>
    <rPh sb="3" eb="5">
      <t>ネンド</t>
    </rPh>
    <rPh sb="5" eb="7">
      <t>トクレイ</t>
    </rPh>
    <rPh sb="7" eb="9">
      <t>ヨウケン</t>
    </rPh>
    <rPh sb="10" eb="11">
      <t>ミ</t>
    </rPh>
    <rPh sb="17" eb="19">
      <t>トウガイ</t>
    </rPh>
    <rPh sb="19" eb="21">
      <t>ヨウケン</t>
    </rPh>
    <rPh sb="22" eb="23">
      <t>ミ</t>
    </rPh>
    <rPh sb="32" eb="34">
      <t>バアイ</t>
    </rPh>
    <rPh sb="36" eb="38">
      <t>レイワ</t>
    </rPh>
    <rPh sb="39" eb="40">
      <t>ネン</t>
    </rPh>
    <rPh sb="41" eb="42">
      <t>ガツ</t>
    </rPh>
    <rPh sb="42" eb="43">
      <t>マツ</t>
    </rPh>
    <rPh sb="46" eb="48">
      <t>ヒツヨウ</t>
    </rPh>
    <rPh sb="49" eb="51">
      <t>チンギン</t>
    </rPh>
    <rPh sb="51" eb="53">
      <t>カイゼン</t>
    </rPh>
    <rPh sb="54" eb="55">
      <t>オコナ</t>
    </rPh>
    <rPh sb="59" eb="61">
      <t>セイヤク</t>
    </rPh>
    <phoneticPr fontId="12"/>
  </si>
  <si>
    <t>⇒上記に「×」が付いた場合、この欄に記入すること</t>
    <rPh sb="1" eb="3">
      <t>ジョウキ</t>
    </rPh>
    <phoneticPr fontId="12"/>
  </si>
  <si>
    <t>「改善後の賃金が年額440万円以上となる者」を設定できない場合その理由</t>
    <rPh sb="1" eb="3">
      <t>カイゼン</t>
    </rPh>
    <phoneticPr fontId="12"/>
  </si>
  <si>
    <t>！キャリアパス要件Ⅳの欄に「×」があるのに、左のチェックボックスにチェック（✔）が入っていません。</t>
    <rPh sb="7" eb="9">
      <t>ヨウケン</t>
    </rPh>
    <rPh sb="11" eb="12">
      <t>ラン</t>
    </rPh>
    <rPh sb="22" eb="23">
      <t>ヒダリ</t>
    </rPh>
    <phoneticPr fontId="12"/>
  </si>
  <si>
    <t>小規模事業所等で職員間の賃金バランスに配慮が必要のため。</t>
    <rPh sb="0" eb="1">
      <t>ショウ</t>
    </rPh>
    <rPh sb="1" eb="3">
      <t>キボ</t>
    </rPh>
    <rPh sb="3" eb="6">
      <t>ジギョウショ</t>
    </rPh>
    <rPh sb="6" eb="7">
      <t>トウ</t>
    </rPh>
    <rPh sb="8" eb="11">
      <t>ショクインカン</t>
    </rPh>
    <rPh sb="12" eb="14">
      <t>チンギン</t>
    </rPh>
    <rPh sb="19" eb="21">
      <t>ハイリョ</t>
    </rPh>
    <rPh sb="22" eb="24">
      <t>ヒツヨウ</t>
    </rPh>
    <phoneticPr fontId="2"/>
  </si>
  <si>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2"/>
  </si>
  <si>
    <t>年額440万円の賃金改善を行うに当たり、規程の整備や研修・実務経験の蓄積などに一定期間を要するため。</t>
    <rPh sb="0" eb="2">
      <t>ネンガク</t>
    </rPh>
    <rPh sb="5" eb="6">
      <t>マン</t>
    </rPh>
    <rPh sb="6" eb="7">
      <t>エン</t>
    </rPh>
    <rPh sb="16" eb="17">
      <t>ア</t>
    </rPh>
    <rPh sb="20" eb="22">
      <t>キテイ</t>
    </rPh>
    <phoneticPr fontId="12"/>
  </si>
  <si>
    <t>その他（</t>
    <rPh sb="2" eb="3">
      <t>タ</t>
    </rPh>
    <phoneticPr fontId="12"/>
  </si>
  <si>
    <t>）</t>
    <phoneticPr fontId="12"/>
  </si>
  <si>
    <t>！「その他」にチェック（✔）した場合は、具体的な内容を記載してください。</t>
    <rPh sb="4" eb="5">
      <t>タ</t>
    </rPh>
    <rPh sb="16" eb="18">
      <t>バアイ</t>
    </rPh>
    <rPh sb="20" eb="22">
      <t>グタイ</t>
    </rPh>
    <phoneticPr fontId="12"/>
  </si>
  <si>
    <t>（５）キャリアパス要件Ⅴ（介護福祉士等の配置要件）　</t>
    <rPh sb="9" eb="11">
      <t>ヨウケン</t>
    </rPh>
    <phoneticPr fontId="12"/>
  </si>
  <si>
    <t>処遇改善加算Ⅰを算定する事業所数</t>
    <rPh sb="8" eb="10">
      <t>サンテイ</t>
    </rPh>
    <rPh sb="12" eb="15">
      <t>ジギョウショ</t>
    </rPh>
    <rPh sb="15" eb="16">
      <t>スウ</t>
    </rPh>
    <phoneticPr fontId="12"/>
  </si>
  <si>
    <t>別紙様式2-2、2-3「⑥キャリアパス要件Ⅴ」の欄から転記</t>
    <rPh sb="19" eb="21">
      <t>ヨウケン</t>
    </rPh>
    <phoneticPr fontId="12"/>
  </si>
  <si>
    <t>（６）職場環境等要件</t>
    <phoneticPr fontId="12"/>
  </si>
  <si>
    <t>令和８年度特例要件を満たす。</t>
    <rPh sb="0" eb="2">
      <t>レイワ</t>
    </rPh>
    <rPh sb="3" eb="5">
      <t>ネンド</t>
    </rPh>
    <rPh sb="5" eb="7">
      <t>トクレイ</t>
    </rPh>
    <rPh sb="7" eb="9">
      <t>ヨウケン</t>
    </rPh>
    <rPh sb="10" eb="11">
      <t>ミ</t>
    </rPh>
    <phoneticPr fontId="12"/>
  </si>
  <si>
    <t>令和８年度特例要件を満たすことで、当該要件を満たすこととしている場合、
令和９年３月末までに職場環境等要件に係る取組を行うことを誓約します。</t>
    <phoneticPr fontId="12"/>
  </si>
  <si>
    <t>令和８年度特例要件を満たさない場合、各加算区分の算定に必要な令和８年度中の職場環境等要件を満たす。</t>
    <rPh sb="0" eb="2">
      <t>レイワ</t>
    </rPh>
    <rPh sb="3" eb="5">
      <t>ネンド</t>
    </rPh>
    <rPh sb="5" eb="7">
      <t>トクレイ</t>
    </rPh>
    <rPh sb="7" eb="9">
      <t>ヨウケン</t>
    </rPh>
    <rPh sb="10" eb="11">
      <t>ミ</t>
    </rPh>
    <rPh sb="15" eb="17">
      <t>バアイ</t>
    </rPh>
    <rPh sb="18" eb="19">
      <t>カク</t>
    </rPh>
    <rPh sb="19" eb="21">
      <t>カサン</t>
    </rPh>
    <rPh sb="21" eb="23">
      <t>クブン</t>
    </rPh>
    <rPh sb="24" eb="26">
      <t>サンテイ</t>
    </rPh>
    <rPh sb="27" eb="29">
      <t>ヒツヨウ</t>
    </rPh>
    <rPh sb="30" eb="32">
      <t>レイワ</t>
    </rPh>
    <rPh sb="33" eb="35">
      <t>ネンド</t>
    </rPh>
    <rPh sb="35" eb="36">
      <t>チュウ</t>
    </rPh>
    <rPh sb="37" eb="44">
      <t>ショクバカンキョウトウヨウケン</t>
    </rPh>
    <rPh sb="45" eb="46">
      <t>ミ</t>
    </rPh>
    <phoneticPr fontId="12"/>
  </si>
  <si>
    <t>【４，５月は、処遇改善加算Ⅰ・Ⅱ、６月以降は処遇改善加算Ⅰイ、Ⅰロ、Ⅱイ、Ⅱロが対象】</t>
    <rPh sb="40" eb="42">
      <t>タイショウ</t>
    </rPh>
    <phoneticPr fontId="12"/>
  </si>
  <si>
    <t>⇒</t>
    <phoneticPr fontId="12"/>
  </si>
  <si>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含む心身の健康管理」及び「やりがい・働きがいの醸成」の区分ごとに２以上の取組を実施すること。
・「生産性向上のための取組」のうち３以上の取組（うち⑰又は⑱は必須）を実施すること。</t>
    <rPh sb="33" eb="34">
      <t>マタ</t>
    </rPh>
    <rPh sb="35" eb="37">
      <t>レイワ</t>
    </rPh>
    <rPh sb="38" eb="40">
      <t>ネンド</t>
    </rPh>
    <rPh sb="40" eb="41">
      <t>チュウ</t>
    </rPh>
    <rPh sb="42" eb="44">
      <t>ヨウケン</t>
    </rPh>
    <rPh sb="44" eb="46">
      <t>セイビ</t>
    </rPh>
    <rPh sb="47" eb="48">
      <t>オコナ</t>
    </rPh>
    <rPh sb="49" eb="51">
      <t>セイヤク</t>
    </rPh>
    <rPh sb="58" eb="60">
      <t>セイヤク</t>
    </rPh>
    <phoneticPr fontId="12"/>
  </si>
  <si>
    <t>【処遇改善加算Ⅲ・Ⅳ、６月以降は新規に対象となるサービスも対象】</t>
    <rPh sb="16" eb="18">
      <t>シンキ</t>
    </rPh>
    <rPh sb="19" eb="21">
      <t>タイショウ</t>
    </rPh>
    <rPh sb="29" eb="31">
      <t>タイショウ</t>
    </rPh>
    <phoneticPr fontId="12"/>
  </si>
  <si>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rPh sb="33" eb="34">
      <t>マタ</t>
    </rPh>
    <rPh sb="249" eb="251">
      <t>バアイ</t>
    </rPh>
    <rPh sb="257" eb="259">
      <t>センタク</t>
    </rPh>
    <phoneticPr fontId="12"/>
  </si>
  <si>
    <t>区分</t>
    <rPh sb="0" eb="2">
      <t>クブン</t>
    </rPh>
    <phoneticPr fontId="12"/>
  </si>
  <si>
    <t>内容</t>
    <rPh sb="0" eb="2">
      <t>ナイヨウ</t>
    </rPh>
    <phoneticPr fontId="12"/>
  </si>
  <si>
    <t>選択項目数</t>
    <rPh sb="0" eb="2">
      <t>センタク</t>
    </rPh>
    <rPh sb="2" eb="5">
      <t>コウモクスウ</t>
    </rPh>
    <phoneticPr fontId="12"/>
  </si>
  <si>
    <t>入力必要数判定</t>
    <rPh sb="0" eb="2">
      <t>ニュウリョク</t>
    </rPh>
    <rPh sb="2" eb="5">
      <t>ヒツヨウスウ</t>
    </rPh>
    <rPh sb="5" eb="7">
      <t>ハンテイ</t>
    </rPh>
    <phoneticPr fontId="12"/>
  </si>
  <si>
    <t>入職促進に向けた取組</t>
    <phoneticPr fontId="12"/>
  </si>
  <si>
    <t>①法人や事業所の経営理念やケア方針・人材育成方針、その実現のための施策・仕組みなどの明確化</t>
    <phoneticPr fontId="12"/>
  </si>
  <si>
    <t>②事業者の共同による採用・人事ローテーション・研修のための制度構築</t>
    <phoneticPr fontId="12"/>
  </si>
  <si>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12"/>
  </si>
  <si>
    <t>④職業体験の受入れや地域行事への参加や主催等による職業魅力度向上の取組の実施</t>
    <phoneticPr fontId="12"/>
  </si>
  <si>
    <t>資質の向上やキャリアアップに
向けた支援</t>
    <phoneticPr fontId="12"/>
  </si>
  <si>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12"/>
  </si>
  <si>
    <t>⑥研修の受講やキャリア段位制度と人事考課との連動</t>
    <phoneticPr fontId="12"/>
  </si>
  <si>
    <t>⑦エルダー・メンター（仕事やメンタル面のサポート等をする担当者）制度等導入</t>
    <phoneticPr fontId="12"/>
  </si>
  <si>
    <t>⑧上位者・担当者等によるキャリア面談など、キャリアアップ・働き方等に関する定期的な相談の機会の確保</t>
    <phoneticPr fontId="12"/>
  </si>
  <si>
    <t>両立支援
・
多様な
働き方の
推進</t>
    <phoneticPr fontId="12"/>
  </si>
  <si>
    <t>⑨子育てや家族等の介護等と仕事の両立を目指す者のための休業制度等の充実、事業所内託児施設の整備</t>
    <phoneticPr fontId="12"/>
  </si>
  <si>
    <t>⑩職員の事情等の状況に応じた勤務シフトや短時間正規職員制度の導入、職員の希望に即した非正規職員から正規職員への転換の制度等の整備</t>
    <phoneticPr fontId="12"/>
  </si>
  <si>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12"/>
  </si>
  <si>
    <t>⑫有給休暇の取得促進のため、情報共有や複数担当制等により、業務の属人化の解消、業務配分の偏りの解消を行っている</t>
    <phoneticPr fontId="12"/>
  </si>
  <si>
    <t>腰痛を
含む
心身の
健康管理</t>
    <phoneticPr fontId="12"/>
  </si>
  <si>
    <t>⑬業務や福利厚生制度、メンタルヘルス等の職員相談窓口の設置等相談体制の充実</t>
    <phoneticPr fontId="12"/>
  </si>
  <si>
    <t>⑭短時間勤務労働者等も受診可能な健康診断・ストレスチェックや、従業員のための休憩室の設置等健康管理対策の実施</t>
    <phoneticPr fontId="12"/>
  </si>
  <si>
    <t>⑮職員の身体の負担軽減のための介護技術の修得支援、職員に対する腰痛対策の研修、管理者に対する雇用管理改善の研修等の実施</t>
    <rPh sb="1" eb="3">
      <t>ショクイン</t>
    </rPh>
    <phoneticPr fontId="12"/>
  </si>
  <si>
    <t>⑯事故・トラブルへの対応マニュアル等の作成等の体制の整備</t>
    <phoneticPr fontId="12"/>
  </si>
  <si>
    <t>生産性
向上のため
の取組</t>
    <phoneticPr fontId="12"/>
  </si>
  <si>
    <t>⑰厚生労働省が示している「生産性向上ガイドライン」に基づき、業務改善活動の体制構築（委員会やプロジェクトチームの立ち上げ、外部の研修会の活用等）を行っている</t>
    <phoneticPr fontId="12"/>
  </si>
  <si>
    <t>⑱現場の課題の見える化（課題の抽出、課題の構造化、業務時間調査の実施等）を実施している</t>
    <phoneticPr fontId="12"/>
  </si>
  <si>
    <t>⑲５S活動（業務管理の手法の１つ。整理・整頓・清掃・清潔・躾の頭文字をとったもの）等の実践による職場環境の整備を行っている</t>
    <phoneticPr fontId="12"/>
  </si>
  <si>
    <t>⑳業務手順書の作成や、記録・報告様式の工夫等による情報共有や作業負担の軽減を行っている</t>
    <phoneticPr fontId="12"/>
  </si>
  <si>
    <t>㉑介護ソフト（記録、情報共有、請求業務転記が不要なもの。）、情報端末（タブレット端末、スマートフォン端末等）の導入</t>
    <phoneticPr fontId="12"/>
  </si>
  <si>
    <t>㉒介護ロボット（見守り支援、移乗支援、移動支援、排泄支援、入浴支援、介護業務支援等）又はインカム等の職員間の連絡調整の迅速化に資するICT機器（ビジネスチャットツール含む）の導入</t>
    <phoneticPr fontId="12"/>
  </si>
  <si>
    <t>㉓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12"/>
  </si>
  <si>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12"/>
  </si>
  <si>
    <t>㉔の２　１法人あたり１の施設又は事業所のみを運営するような法人等の小規模事業者であり、㉔の取組を実施している。</t>
    <phoneticPr fontId="12"/>
  </si>
  <si>
    <t>やりがい
・
働きがい
の醸成</t>
    <phoneticPr fontId="12"/>
  </si>
  <si>
    <t>㉕ミーティング等による職場内コミュニケーションの円滑化による個々の職員の気づきを踏まえた勤務環境やケア内容の改善</t>
    <phoneticPr fontId="12"/>
  </si>
  <si>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12"/>
  </si>
  <si>
    <t>㉗利用者本位のケア方針など介護保険や法人の理念等を定期的に学ぶ機会の提供</t>
    <phoneticPr fontId="12"/>
  </si>
  <si>
    <t>㉘ケアの好事例や、利用者やその家族からの謝意等の情報を共有する機会の提供</t>
    <phoneticPr fontId="12"/>
  </si>
  <si>
    <t>見える化要件　【４，５月は、処遇改善加算Ⅰ・Ⅱ、６月以降は処遇改善加算Ⅰイ、Ⅰロ、Ⅱイ、Ⅱロが対象】</t>
    <rPh sb="0" eb="1">
      <t>ミ</t>
    </rPh>
    <rPh sb="3" eb="4">
      <t>カ</t>
    </rPh>
    <rPh sb="4" eb="5">
      <t>ヨウ</t>
    </rPh>
    <phoneticPr fontId="12"/>
  </si>
  <si>
    <t>実施する周知方法について、チェック（✔）すること。なお、令和８年度中の見込みでも差し支えない。</t>
    <rPh sb="33" eb="34">
      <t>チュウ</t>
    </rPh>
    <rPh sb="35" eb="37">
      <t>ミコミ</t>
    </rPh>
    <rPh sb="40" eb="41">
      <t>サ</t>
    </rPh>
    <rPh sb="42" eb="43">
      <t>ツカ</t>
    </rPh>
    <phoneticPr fontId="12"/>
  </si>
  <si>
    <t>ホームページ
への掲載</t>
    <rPh sb="9" eb="11">
      <t>ケイサイ</t>
    </rPh>
    <phoneticPr fontId="12"/>
  </si>
  <si>
    <t>職場環境等要件の28項目のうち、実施する取組項目の「介護サービス情報公表システム」（「事業所の特色」欄）での選択</t>
    <rPh sb="0" eb="2">
      <t>ショクバ</t>
    </rPh>
    <rPh sb="2" eb="4">
      <t>カンキョウ</t>
    </rPh>
    <rPh sb="4" eb="5">
      <t>トウ</t>
    </rPh>
    <rPh sb="5" eb="7">
      <t>ヨウケン</t>
    </rPh>
    <rPh sb="10" eb="12">
      <t>コウモク</t>
    </rPh>
    <rPh sb="16" eb="18">
      <t>ジッシ</t>
    </rPh>
    <rPh sb="20" eb="22">
      <t>トリクミ</t>
    </rPh>
    <rPh sb="22" eb="24">
      <t>コウモク</t>
    </rPh>
    <rPh sb="26" eb="28">
      <t>カイゴ</t>
    </rPh>
    <rPh sb="32" eb="34">
      <t>ジョウホウ</t>
    </rPh>
    <rPh sb="34" eb="36">
      <t>コウヒョウ</t>
    </rPh>
    <rPh sb="54" eb="56">
      <t>センタク</t>
    </rPh>
    <phoneticPr fontId="12"/>
  </si>
  <si>
    <t>！実施する周知方法が選択されていません。</t>
    <rPh sb="10" eb="12">
      <t>センタク</t>
    </rPh>
    <phoneticPr fontId="12"/>
  </si>
  <si>
    <t>職場環境等要件の28項目のうち、実施する取組項目の自社のホームページへの掲載</t>
    <rPh sb="22" eb="24">
      <t>コウモク</t>
    </rPh>
    <rPh sb="25" eb="27">
      <t>ジシャ</t>
    </rPh>
    <rPh sb="36" eb="38">
      <t>ケイサイ</t>
    </rPh>
    <phoneticPr fontId="12"/>
  </si>
  <si>
    <t>（７）令和８年度特例要件</t>
    <rPh sb="3" eb="5">
      <t>レイワ</t>
    </rPh>
    <rPh sb="6" eb="8">
      <t>ネンド</t>
    </rPh>
    <rPh sb="8" eb="10">
      <t>トクレイ</t>
    </rPh>
    <rPh sb="10" eb="12">
      <t>ヨウケン</t>
    </rPh>
    <phoneticPr fontId="12"/>
  </si>
  <si>
    <t>生産性向上や協働化に取り組む事業者の介護職員に対する上乗せの賃上げ支援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カイゴ</t>
    </rPh>
    <rPh sb="20" eb="22">
      <t>ショクイン</t>
    </rPh>
    <rPh sb="23" eb="24">
      <t>タイ</t>
    </rPh>
    <rPh sb="26" eb="28">
      <t>ウワノ</t>
    </rPh>
    <rPh sb="30" eb="32">
      <t>チンア</t>
    </rPh>
    <rPh sb="33" eb="35">
      <t>シエン</t>
    </rPh>
    <phoneticPr fontId="12"/>
  </si>
  <si>
    <t>○訪問・通所系サービス等について、ケアプランデータ連携システムを利用している又は実績報告書の提出までに利用する
　見込みです。
○施設・居住サービス、多機能サービス、短期入所サービス等について、生産性向上推進体制加算Ⅰ又はⅡを算定している
　又は実績報告書の提出までに算定する見込みです。
 　（小規模多機能型居宅介護等のサービスにおいては、ケアプランデータ連携システムを利用している又は
　　実績報告書の提出までに利用する見込みであることにより要件を満たすことができます。）
○介護サービス事業所等が所属する法人が、社会福祉連携推進法人に所属しています。
別紙様式2-2、2-3「⑦令和８年度特例要件」の欄から転記</t>
    <rPh sb="1" eb="3">
      <t>ホウモン</t>
    </rPh>
    <rPh sb="4" eb="6">
      <t>ツウショ</t>
    </rPh>
    <rPh sb="6" eb="7">
      <t>ケイ</t>
    </rPh>
    <rPh sb="11" eb="12">
      <t>トウ</t>
    </rPh>
    <rPh sb="32" eb="34">
      <t>リヨウ</t>
    </rPh>
    <rPh sb="38" eb="39">
      <t>マタ</t>
    </rPh>
    <rPh sb="40" eb="45">
      <t>ジッセキホウコクショ</t>
    </rPh>
    <rPh sb="46" eb="48">
      <t>テイシュツ</t>
    </rPh>
    <rPh sb="51" eb="53">
      <t>リヨウ</t>
    </rPh>
    <rPh sb="57" eb="59">
      <t>ミコ</t>
    </rPh>
    <rPh sb="123" eb="125">
      <t>ジッセキ</t>
    </rPh>
    <rPh sb="125" eb="128">
      <t>ホウコクショ</t>
    </rPh>
    <rPh sb="129" eb="131">
      <t>テイシュツ</t>
    </rPh>
    <rPh sb="134" eb="136">
      <t>サンテイ</t>
    </rPh>
    <rPh sb="148" eb="151">
      <t>ショウキボ</t>
    </rPh>
    <rPh sb="151" eb="155">
      <t>タキノウガタ</t>
    </rPh>
    <rPh sb="155" eb="157">
      <t>キョタク</t>
    </rPh>
    <rPh sb="157" eb="159">
      <t>カイゴ</t>
    </rPh>
    <rPh sb="159" eb="160">
      <t>トウ</t>
    </rPh>
    <rPh sb="179" eb="181">
      <t>レンケイ</t>
    </rPh>
    <rPh sb="192" eb="193">
      <t>マタ</t>
    </rPh>
    <rPh sb="197" eb="199">
      <t>ジッセキ</t>
    </rPh>
    <rPh sb="199" eb="202">
      <t>ホウコクショ</t>
    </rPh>
    <rPh sb="203" eb="205">
      <t>テイシュツ</t>
    </rPh>
    <rPh sb="212" eb="214">
      <t>ミコ</t>
    </rPh>
    <rPh sb="223" eb="225">
      <t>ヨウケン</t>
    </rPh>
    <rPh sb="226" eb="227">
      <t>ミ</t>
    </rPh>
    <rPh sb="293" eb="295">
      <t>レイワ</t>
    </rPh>
    <rPh sb="296" eb="298">
      <t>ネンド</t>
    </rPh>
    <rPh sb="298" eb="300">
      <t>トクレイ</t>
    </rPh>
    <rPh sb="300" eb="302">
      <t>ヨウケン</t>
    </rPh>
    <phoneticPr fontId="12"/>
  </si>
  <si>
    <t>４　要件を満たすことの確認・証明</t>
    <phoneticPr fontId="12"/>
  </si>
  <si>
    <t>以下の点を確認し、満たしている項目に全てチェック（✔）すること。</t>
    <phoneticPr fontId="12"/>
  </si>
  <si>
    <t>確認事項</t>
    <rPh sb="0" eb="2">
      <t>カクニン</t>
    </rPh>
    <rPh sb="2" eb="4">
      <t>ジコウ</t>
    </rPh>
    <phoneticPr fontId="12"/>
  </si>
  <si>
    <r>
      <t xml:space="preserve">証明する資料の例
</t>
    </r>
    <r>
      <rPr>
        <sz val="8"/>
        <color theme="1"/>
        <rFont val="ＭＳ Ｐゴシック"/>
        <family val="3"/>
        <charset val="128"/>
      </rPr>
      <t>（指定権者からの求めに応じて提出）</t>
    </r>
    <rPh sb="0" eb="2">
      <t>ショウメイ</t>
    </rPh>
    <rPh sb="4" eb="6">
      <t>シリョウ</t>
    </rPh>
    <rPh sb="7" eb="8">
      <t>レイ</t>
    </rPh>
    <rPh sb="10" eb="14">
      <t>シテイケンジャ</t>
    </rPh>
    <rPh sb="17" eb="18">
      <t>モト</t>
    </rPh>
    <rPh sb="20" eb="21">
      <t>オウ</t>
    </rPh>
    <rPh sb="23" eb="25">
      <t>テイシュツ</t>
    </rPh>
    <phoneticPr fontId="12"/>
  </si>
  <si>
    <t>！チェックボックスに必要なチェック（✔）が入っていない項目があります。</t>
    <rPh sb="10" eb="12">
      <t>ヒツヨウ</t>
    </rPh>
    <rPh sb="27" eb="29">
      <t>コウモク</t>
    </rPh>
    <phoneticPr fontId="12"/>
  </si>
  <si>
    <t>・処遇改善加算として給付される額は、職員の賃金改善のために全額支出します。
・また、処遇改善加算による賃金改善以外の部分で賃金水準を引き下げません。
・令和７年度と比較して令和８年度に増加した加算額について、独自の賃金改善を含む過去の賃金改善の実績に関わらず、新たな賃金改善を行います。</t>
    <rPh sb="1" eb="3">
      <t>ショグウ</t>
    </rPh>
    <rPh sb="3" eb="7">
      <t>カイゼンカサン</t>
    </rPh>
    <rPh sb="10" eb="12">
      <t>キュウフ</t>
    </rPh>
    <rPh sb="15" eb="16">
      <t>ガク</t>
    </rPh>
    <rPh sb="18" eb="20">
      <t>ショクイン</t>
    </rPh>
    <rPh sb="21" eb="23">
      <t>チンギン</t>
    </rPh>
    <rPh sb="23" eb="25">
      <t>カイゼン</t>
    </rPh>
    <rPh sb="29" eb="31">
      <t>ゼンガク</t>
    </rPh>
    <rPh sb="31" eb="33">
      <t>シシュツ</t>
    </rPh>
    <rPh sb="96" eb="98">
      <t>カサン</t>
    </rPh>
    <rPh sb="98" eb="99">
      <t>ガク</t>
    </rPh>
    <rPh sb="104" eb="106">
      <t>ドクジ</t>
    </rPh>
    <rPh sb="107" eb="109">
      <t>チンギン</t>
    </rPh>
    <rPh sb="109" eb="111">
      <t>カイゼン</t>
    </rPh>
    <rPh sb="112" eb="113">
      <t>フク</t>
    </rPh>
    <rPh sb="114" eb="116">
      <t>カコ</t>
    </rPh>
    <rPh sb="117" eb="119">
      <t>チンギン</t>
    </rPh>
    <rPh sb="119" eb="121">
      <t>カイゼン</t>
    </rPh>
    <rPh sb="122" eb="124">
      <t>ジッセキ</t>
    </rPh>
    <rPh sb="125" eb="126">
      <t>カカ</t>
    </rPh>
    <rPh sb="130" eb="131">
      <t>アラ</t>
    </rPh>
    <rPh sb="133" eb="135">
      <t>チンギン</t>
    </rPh>
    <rPh sb="135" eb="137">
      <t>カイゼン</t>
    </rPh>
    <rPh sb="138" eb="139">
      <t>オコナ</t>
    </rPh>
    <phoneticPr fontId="12"/>
  </si>
  <si>
    <t>就業規則、給与規程、
給与明細等</t>
    <rPh sb="0" eb="2">
      <t>シュウギョウ</t>
    </rPh>
    <rPh sb="2" eb="4">
      <t>キソク</t>
    </rPh>
    <rPh sb="5" eb="7">
      <t>キュウヨ</t>
    </rPh>
    <rPh sb="7" eb="9">
      <t>キテイ</t>
    </rPh>
    <rPh sb="11" eb="13">
      <t>キュウヨ</t>
    </rPh>
    <rPh sb="13" eb="15">
      <t>メイサイ</t>
    </rPh>
    <rPh sb="15" eb="16">
      <t>トウ</t>
    </rPh>
    <phoneticPr fontId="12"/>
  </si>
  <si>
    <t>期間中に事業所が休廃止した場合には、一時金等により介護職員その他の職員の賃金として配分します。</t>
    <phoneticPr fontId="12"/>
  </si>
  <si>
    <t>キャリアパス要件Ⅰ～Ⅲのうち、満たす必要のある項目について、証明となる書面を作成し、職員に周知しました。また、計画書の提出時点で書面の準備ができていない場合は、令和８年度中（令和９年３月末まで）に書面を整備します。</t>
    <rPh sb="6" eb="8">
      <t>ヨウケン</t>
    </rPh>
    <rPh sb="15" eb="16">
      <t>ミ</t>
    </rPh>
    <rPh sb="18" eb="20">
      <t>ヒツヨウ</t>
    </rPh>
    <rPh sb="23" eb="25">
      <t>コウモク</t>
    </rPh>
    <rPh sb="30" eb="32">
      <t>ショウメイ</t>
    </rPh>
    <rPh sb="35" eb="37">
      <t>ショメン</t>
    </rPh>
    <rPh sb="38" eb="40">
      <t>サクセイ</t>
    </rPh>
    <rPh sb="42" eb="44">
      <t>ショクイン</t>
    </rPh>
    <rPh sb="45" eb="47">
      <t>シュウチ</t>
    </rPh>
    <rPh sb="49" eb="51">
      <t>ショクイン</t>
    </rPh>
    <rPh sb="55" eb="58">
      <t>ケイカクショ</t>
    </rPh>
    <rPh sb="59" eb="61">
      <t>テイシュツ</t>
    </rPh>
    <rPh sb="61" eb="63">
      <t>ジテン</t>
    </rPh>
    <rPh sb="64" eb="66">
      <t>ショメン</t>
    </rPh>
    <rPh sb="67" eb="69">
      <t>ジュンビ</t>
    </rPh>
    <rPh sb="76" eb="78">
      <t>バアイ</t>
    </rPh>
    <rPh sb="98" eb="100">
      <t>ショメン</t>
    </rPh>
    <rPh sb="101" eb="103">
      <t>セイビ</t>
    </rPh>
    <phoneticPr fontId="12"/>
  </si>
  <si>
    <t>就業規則、給与規程、
資質向上のための計画等</t>
    <rPh sb="0" eb="2">
      <t>シュウギョウ</t>
    </rPh>
    <rPh sb="2" eb="4">
      <t>キソク</t>
    </rPh>
    <rPh sb="5" eb="7">
      <t>キュウヨ</t>
    </rPh>
    <rPh sb="7" eb="9">
      <t>キテイ</t>
    </rPh>
    <rPh sb="21" eb="22">
      <t>トウ</t>
    </rPh>
    <phoneticPr fontId="12"/>
  </si>
  <si>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12"/>
  </si>
  <si>
    <t>―</t>
    <phoneticPr fontId="12"/>
  </si>
  <si>
    <t>労働保険料の納付が適正に行われています。</t>
    <rPh sb="0" eb="2">
      <t>ロウドウ</t>
    </rPh>
    <rPh sb="2" eb="5">
      <t>ホケンリョウ</t>
    </rPh>
    <rPh sb="6" eb="8">
      <t>ノウフ</t>
    </rPh>
    <rPh sb="9" eb="11">
      <t>テキセイ</t>
    </rPh>
    <rPh sb="12" eb="13">
      <t>オコナ</t>
    </rPh>
    <phoneticPr fontId="12"/>
  </si>
  <si>
    <t>労働保険関係成立届、
確定保険料申告書</t>
    <rPh sb="0" eb="2">
      <t>ロウドウ</t>
    </rPh>
    <rPh sb="2" eb="4">
      <t>ホケン</t>
    </rPh>
    <rPh sb="4" eb="6">
      <t>カンケイ</t>
    </rPh>
    <rPh sb="6" eb="8">
      <t>セイリツ</t>
    </rPh>
    <rPh sb="8" eb="9">
      <t>トド</t>
    </rPh>
    <rPh sb="11" eb="13">
      <t>カクテイ</t>
    </rPh>
    <rPh sb="13" eb="16">
      <t>ホケンリョウ</t>
    </rPh>
    <rPh sb="16" eb="19">
      <t>シンコクショ</t>
    </rPh>
    <phoneticPr fontId="12"/>
  </si>
  <si>
    <t>本計画書の内容及び賃金改善の方法を雇用する全ての職員に対して周知しました。</t>
    <rPh sb="0" eb="1">
      <t>ホン</t>
    </rPh>
    <rPh sb="1" eb="4">
      <t>ケイカクショ</t>
    </rPh>
    <rPh sb="5" eb="7">
      <t>ナイヨウ</t>
    </rPh>
    <rPh sb="7" eb="8">
      <t>オヨ</t>
    </rPh>
    <rPh sb="9" eb="13">
      <t>チンギンカイゼン</t>
    </rPh>
    <rPh sb="14" eb="16">
      <t>ホウホウ</t>
    </rPh>
    <rPh sb="17" eb="19">
      <t>コヨウ</t>
    </rPh>
    <rPh sb="21" eb="22">
      <t>スベ</t>
    </rPh>
    <rPh sb="24" eb="26">
      <t>ショクイン</t>
    </rPh>
    <rPh sb="27" eb="28">
      <t>タイ</t>
    </rPh>
    <rPh sb="30" eb="32">
      <t>シュウチ</t>
    </rPh>
    <phoneticPr fontId="12"/>
  </si>
  <si>
    <t>会議録、周知文書</t>
    <rPh sb="0" eb="3">
      <t>カイギロク</t>
    </rPh>
    <rPh sb="4" eb="6">
      <t>シュウチ</t>
    </rPh>
    <rPh sb="6" eb="8">
      <t>ブンショ</t>
    </rPh>
    <phoneticPr fontId="12"/>
  </si>
  <si>
    <t xml:space="preserve">指定権者のホームページ等で申請先を確認しており、処遇改善加算の提出先として案内のあった申請先に提出します。																							</t>
    <rPh sb="0" eb="4">
      <t>シテイケンジャ</t>
    </rPh>
    <rPh sb="24" eb="26">
      <t>ショグウ</t>
    </rPh>
    <rPh sb="26" eb="28">
      <t>カイゼン</t>
    </rPh>
    <rPh sb="28" eb="30">
      <t>カサン</t>
    </rPh>
    <rPh sb="31" eb="33">
      <t>テイシュツ</t>
    </rPh>
    <rPh sb="33" eb="34">
      <t>サキ</t>
    </rPh>
    <phoneticPr fontId="12"/>
  </si>
  <si>
    <t>※</t>
    <phoneticPr fontId="12"/>
  </si>
  <si>
    <t>各証明資料は、指定権者からの求めがあった場合には、速やかに提出すること。</t>
    <phoneticPr fontId="12"/>
  </si>
  <si>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12"/>
  </si>
  <si>
    <t>本処遇改善計画書の記載内容・確認事項の内容に間違いがないこと及び
記載内容を証明する資料を適切に保管することを誓約します。</t>
    <rPh sb="0" eb="1">
      <t>ホン</t>
    </rPh>
    <rPh sb="1" eb="3">
      <t>ショグウ</t>
    </rPh>
    <rPh sb="3" eb="5">
      <t>カイゼン</t>
    </rPh>
    <rPh sb="5" eb="8">
      <t>ケイカクショ</t>
    </rPh>
    <rPh sb="30" eb="31">
      <t>オヨ</t>
    </rPh>
    <phoneticPr fontId="12"/>
  </si>
  <si>
    <t>令和</t>
    <rPh sb="0" eb="2">
      <t>レイワ</t>
    </rPh>
    <phoneticPr fontId="12"/>
  </si>
  <si>
    <t>年</t>
    <rPh sb="0" eb="1">
      <t>ネン</t>
    </rPh>
    <phoneticPr fontId="12"/>
  </si>
  <si>
    <t>月</t>
    <rPh sb="0" eb="1">
      <t>ゲツ</t>
    </rPh>
    <phoneticPr fontId="12"/>
  </si>
  <si>
    <t>日</t>
    <rPh sb="0" eb="1">
      <t>ニチ</t>
    </rPh>
    <phoneticPr fontId="12"/>
  </si>
  <si>
    <t>代表者</t>
    <rPh sb="0" eb="3">
      <t>ダイヒョウシャ</t>
    </rPh>
    <phoneticPr fontId="12"/>
  </si>
  <si>
    <t>（確認用）</t>
    <rPh sb="1" eb="4">
      <t>カクニンヨウ</t>
    </rPh>
    <phoneticPr fontId="12"/>
  </si>
  <si>
    <t>提出前のチェックリスト</t>
    <rPh sb="0" eb="2">
      <t>テイシュツ</t>
    </rPh>
    <rPh sb="2" eb="3">
      <t>マエ</t>
    </rPh>
    <phoneticPr fontId="12"/>
  </si>
  <si>
    <t>以下の項目にオレンジ色の「×」がないか、提出前に確認すること。「×」がある場合、当該項目の記載を修正すること。</t>
    <rPh sb="10" eb="11">
      <t>イロ</t>
    </rPh>
    <phoneticPr fontId="12"/>
  </si>
  <si>
    <t>空欄が表示される項目は、記入が不要であるため対応する必要はない。</t>
    <phoneticPr fontId="12"/>
  </si>
  <si>
    <t>２　賃金改善計画について</t>
    <rPh sb="2" eb="4">
      <t>チンギン</t>
    </rPh>
    <rPh sb="4" eb="6">
      <t>カイゼン</t>
    </rPh>
    <rPh sb="6" eb="8">
      <t>ケイカク</t>
    </rPh>
    <phoneticPr fontId="12"/>
  </si>
  <si>
    <r>
      <rPr>
        <sz val="9"/>
        <color theme="1"/>
        <rFont val="ＭＳ Ｐゴシック"/>
        <family val="3"/>
        <charset val="128"/>
      </rPr>
      <t>令和８年度</t>
    </r>
    <r>
      <rPr>
        <sz val="9"/>
        <rFont val="ＭＳ Ｐゴシック"/>
        <family val="3"/>
        <charset val="128"/>
      </rPr>
      <t>の賃金改善が必要な額以上の賃金改善を行う計画となっていること</t>
    </r>
    <rPh sb="0" eb="2">
      <t>レイワ</t>
    </rPh>
    <rPh sb="3" eb="5">
      <t>ネンド</t>
    </rPh>
    <rPh sb="6" eb="8">
      <t>チンギン</t>
    </rPh>
    <rPh sb="8" eb="10">
      <t>カイゼン</t>
    </rPh>
    <rPh sb="11" eb="13">
      <t>ヒツヨウ</t>
    </rPh>
    <rPh sb="14" eb="15">
      <t>ガク</t>
    </rPh>
    <rPh sb="23" eb="24">
      <t>オコナ</t>
    </rPh>
    <rPh sb="25" eb="27">
      <t>ケイカク</t>
    </rPh>
    <phoneticPr fontId="12"/>
  </si>
  <si>
    <t>３　介護職員等処遇改善加算の要件について</t>
    <phoneticPr fontId="12"/>
  </si>
  <si>
    <t>（１）</t>
    <phoneticPr fontId="12"/>
  </si>
  <si>
    <t>月額賃金改善要件</t>
    <phoneticPr fontId="12"/>
  </si>
  <si>
    <t>処遇改善加算Ⅳの1/2以上の月額賃金改善を行う計画になっていること</t>
    <rPh sb="21" eb="22">
      <t>オコナ</t>
    </rPh>
    <rPh sb="23" eb="25">
      <t>ケイカク</t>
    </rPh>
    <phoneticPr fontId="12"/>
  </si>
  <si>
    <t>（２）</t>
    <phoneticPr fontId="12"/>
  </si>
  <si>
    <t>キャリアパス要件Ⅰ・Ⅱ</t>
    <phoneticPr fontId="12"/>
  </si>
  <si>
    <t>キャリアパス要件Ⅰ（任用要件・賃金体系の整備等）とキャリアパス要件Ⅱ（研修の実施等）の両方を満たすこと。ただし、満たさない場合は、令和８年度特例要件を満たすこと。</t>
    <rPh sb="43" eb="45">
      <t>リョウホウ</t>
    </rPh>
    <rPh sb="46" eb="47">
      <t>ミ</t>
    </rPh>
    <rPh sb="56" eb="57">
      <t>ミ</t>
    </rPh>
    <rPh sb="61" eb="63">
      <t>バアイ</t>
    </rPh>
    <rPh sb="65" eb="67">
      <t>レイワ</t>
    </rPh>
    <rPh sb="68" eb="70">
      <t>ネンド</t>
    </rPh>
    <rPh sb="70" eb="72">
      <t>トクレイ</t>
    </rPh>
    <rPh sb="72" eb="74">
      <t>ヨウケン</t>
    </rPh>
    <rPh sb="75" eb="76">
      <t>ミ</t>
    </rPh>
    <phoneticPr fontId="12"/>
  </si>
  <si>
    <t>（３）</t>
    <phoneticPr fontId="12"/>
  </si>
  <si>
    <t>キャリアパス要件Ⅲ</t>
    <phoneticPr fontId="12"/>
  </si>
  <si>
    <t>キャリアパス要件Ⅲ（昇給の仕組みの整備等）を満たすこと。ただし、満たさない場合は、令和８年度特例要件を満たすこと。</t>
    <rPh sb="22" eb="23">
      <t>ミ</t>
    </rPh>
    <phoneticPr fontId="12"/>
  </si>
  <si>
    <t>（４）</t>
    <phoneticPr fontId="12"/>
  </si>
  <si>
    <t>キャリアパス要件Ⅳ</t>
    <phoneticPr fontId="12"/>
  </si>
  <si>
    <t>改善後の賃金が年額440万円以上となる者の数が事業所あたり１以上となるような計画になっていること。ただし、満たさない場合は、令和８年度特例要件を満たすか、小規模事業所等である等の理由を記載すること</t>
    <rPh sb="19" eb="20">
      <t>モノ</t>
    </rPh>
    <rPh sb="21" eb="22">
      <t>カズ</t>
    </rPh>
    <rPh sb="23" eb="26">
      <t>ジギョウショ</t>
    </rPh>
    <rPh sb="30" eb="32">
      <t>イジョウ</t>
    </rPh>
    <rPh sb="38" eb="40">
      <t>ケイカク</t>
    </rPh>
    <rPh sb="53" eb="54">
      <t>ミ</t>
    </rPh>
    <rPh sb="58" eb="60">
      <t>バアイ</t>
    </rPh>
    <rPh sb="87" eb="88">
      <t>トウ</t>
    </rPh>
    <rPh sb="89" eb="91">
      <t>リユウ</t>
    </rPh>
    <rPh sb="92" eb="94">
      <t>キサイ</t>
    </rPh>
    <phoneticPr fontId="12"/>
  </si>
  <si>
    <t>（５）</t>
    <phoneticPr fontId="12"/>
  </si>
  <si>
    <t>キャリアパス要件Ⅴ</t>
    <phoneticPr fontId="12"/>
  </si>
  <si>
    <t>キャリアパス要件Ⅴ（介護福祉士等の配置要件）を満たすこと</t>
    <rPh sb="15" eb="16">
      <t>トウ</t>
    </rPh>
    <rPh sb="23" eb="24">
      <t>ミ</t>
    </rPh>
    <phoneticPr fontId="12"/>
  </si>
  <si>
    <t>（６）</t>
    <phoneticPr fontId="12"/>
  </si>
  <si>
    <t>職場環境等要件</t>
    <phoneticPr fontId="12"/>
  </si>
  <si>
    <t>各加算区分の算定に必要な要件を満たしていること又は令和８年度特例要件を満たし当該要件に係る取組を行うことを誓約していること</t>
    <rPh sb="0" eb="1">
      <t>カク</t>
    </rPh>
    <rPh sb="1" eb="3">
      <t>カサン</t>
    </rPh>
    <rPh sb="3" eb="5">
      <t>クブン</t>
    </rPh>
    <rPh sb="6" eb="8">
      <t>サンテイ</t>
    </rPh>
    <rPh sb="9" eb="11">
      <t>ヒツヨウ</t>
    </rPh>
    <rPh sb="12" eb="14">
      <t>ヨウケン</t>
    </rPh>
    <rPh sb="15" eb="16">
      <t>ミ</t>
    </rPh>
    <rPh sb="23" eb="24">
      <t>マタ</t>
    </rPh>
    <rPh sb="25" eb="27">
      <t>レイワ</t>
    </rPh>
    <rPh sb="28" eb="30">
      <t>ネンド</t>
    </rPh>
    <rPh sb="30" eb="32">
      <t>トクレイ</t>
    </rPh>
    <rPh sb="32" eb="34">
      <t>ヨウケン</t>
    </rPh>
    <rPh sb="35" eb="36">
      <t>ミ</t>
    </rPh>
    <rPh sb="38" eb="40">
      <t>トウガイ</t>
    </rPh>
    <rPh sb="40" eb="42">
      <t>ヨウケン</t>
    </rPh>
    <rPh sb="43" eb="44">
      <t>カカ</t>
    </rPh>
    <rPh sb="45" eb="47">
      <t>トリクミ</t>
    </rPh>
    <rPh sb="48" eb="49">
      <t>オコナ</t>
    </rPh>
    <rPh sb="53" eb="55">
      <t>セイヤク</t>
    </rPh>
    <phoneticPr fontId="12"/>
  </si>
  <si>
    <t>情報公表システム等での見える化要件を満たすこと</t>
    <rPh sb="0" eb="2">
      <t>ジョウホウ</t>
    </rPh>
    <rPh sb="2" eb="4">
      <t>コウヒョウ</t>
    </rPh>
    <rPh sb="8" eb="9">
      <t>トウ</t>
    </rPh>
    <rPh sb="11" eb="12">
      <t>ミ</t>
    </rPh>
    <rPh sb="14" eb="15">
      <t>カ</t>
    </rPh>
    <rPh sb="15" eb="17">
      <t>ヨウケン</t>
    </rPh>
    <rPh sb="18" eb="19">
      <t>ミ</t>
    </rPh>
    <phoneticPr fontId="12"/>
  </si>
  <si>
    <t>（７）</t>
    <phoneticPr fontId="12"/>
  </si>
  <si>
    <t>令和８年度特例要件</t>
    <rPh sb="0" eb="2">
      <t>レイワ</t>
    </rPh>
    <rPh sb="3" eb="5">
      <t>ネンド</t>
    </rPh>
    <rPh sb="5" eb="7">
      <t>トクレイ</t>
    </rPh>
    <rPh sb="7" eb="9">
      <t>ヨウケン</t>
    </rPh>
    <phoneticPr fontId="12"/>
  </si>
  <si>
    <t>生産性向上や協働化の取組を行っていること</t>
    <rPh sb="10" eb="12">
      <t>トリクミ</t>
    </rPh>
    <rPh sb="13" eb="14">
      <t>オコナ</t>
    </rPh>
    <phoneticPr fontId="12"/>
  </si>
  <si>
    <t>４　要件を満たすことの確認・証明</t>
    <rPh sb="2" eb="4">
      <t>ヨウケン</t>
    </rPh>
    <rPh sb="5" eb="6">
      <t>ミ</t>
    </rPh>
    <rPh sb="11" eb="13">
      <t>カクニン</t>
    </rPh>
    <rPh sb="14" eb="16">
      <t>ショウメイ</t>
    </rPh>
    <phoneticPr fontId="12"/>
  </si>
  <si>
    <t xml:space="preserve"> 必要な項目が全て選択されていること</t>
    <rPh sb="1" eb="3">
      <t>ヒツヨウ</t>
    </rPh>
    <rPh sb="4" eb="6">
      <t>コウモク</t>
    </rPh>
    <rPh sb="7" eb="8">
      <t>スベ</t>
    </rPh>
    <rPh sb="9" eb="11">
      <t>センタク</t>
    </rPh>
    <phoneticPr fontId="12"/>
  </si>
  <si>
    <t xml:space="preserve"> 誓約・記名が行われていること</t>
    <rPh sb="1" eb="3">
      <t>セイヤク</t>
    </rPh>
    <rPh sb="4" eb="6">
      <t>キメイ</t>
    </rPh>
    <rPh sb="7" eb="8">
      <t>オコナ</t>
    </rPh>
    <phoneticPr fontId="12"/>
  </si>
  <si>
    <t>別紙様式２－２（個票（４、５月））</t>
    <rPh sb="0" eb="2">
      <t>ベッシ</t>
    </rPh>
    <rPh sb="2" eb="4">
      <t>ヨウシキ</t>
    </rPh>
    <rPh sb="8" eb="10">
      <t>コヒョウ</t>
    </rPh>
    <rPh sb="14" eb="15">
      <t>ガツ</t>
    </rPh>
    <phoneticPr fontId="12"/>
  </si>
  <si>
    <t>⑤キャリアパス要件Ⅳについて（「令和８年度の算定予定」について）</t>
    <rPh sb="7" eb="9">
      <t>ヨウケン</t>
    </rPh>
    <rPh sb="16" eb="18">
      <t>レイワ</t>
    </rPh>
    <rPh sb="19" eb="21">
      <t>ネンド</t>
    </rPh>
    <rPh sb="22" eb="24">
      <t>サンテイ</t>
    </rPh>
    <rPh sb="24" eb="26">
      <t>ヨテイ</t>
    </rPh>
    <phoneticPr fontId="12"/>
  </si>
  <si>
    <t xml:space="preserve"> 処遇改善加算（見込額）の合計［円］
　（別紙様式2-1 2　①の内数）</t>
    <rPh sb="1" eb="3">
      <t>ショグウ</t>
    </rPh>
    <rPh sb="3" eb="5">
      <t>カイゼン</t>
    </rPh>
    <rPh sb="5" eb="7">
      <t>カサン</t>
    </rPh>
    <rPh sb="8" eb="10">
      <t>ミコ</t>
    </rPh>
    <rPh sb="10" eb="11">
      <t>ガク</t>
    </rPh>
    <rPh sb="13" eb="15">
      <t>ゴウケイ</t>
    </rPh>
    <rPh sb="16" eb="17">
      <t>エン</t>
    </rPh>
    <rPh sb="33" eb="35">
      <t>ウチスウ</t>
    </rPh>
    <phoneticPr fontId="12"/>
  </si>
  <si>
    <t>処遇改善加算Ⅰ・Ⅱの算定を届け出た事業所数
（短期入所・予防・総合事業での重複除く）</t>
    <rPh sb="10" eb="12">
      <t>サンテイ</t>
    </rPh>
    <phoneticPr fontId="12"/>
  </si>
  <si>
    <t>　うち、処遇改善加算Ⅳ相当の１／２（見込額）の合計［円］
  （別紙様式2-1 3(1)①の内数）</t>
    <rPh sb="4" eb="6">
      <t>ショグウ</t>
    </rPh>
    <rPh sb="6" eb="8">
      <t>カイゼン</t>
    </rPh>
    <rPh sb="8" eb="10">
      <t>カサン</t>
    </rPh>
    <rPh sb="11" eb="13">
      <t>ソウトウ</t>
    </rPh>
    <rPh sb="18" eb="20">
      <t>ミコ</t>
    </rPh>
    <rPh sb="20" eb="21">
      <t>ガク</t>
    </rPh>
    <rPh sb="23" eb="25">
      <t>ゴウケイ</t>
    </rPh>
    <rPh sb="26" eb="27">
      <t>エン</t>
    </rPh>
    <rPh sb="46" eb="48">
      <t>ウチスウ</t>
    </rPh>
    <phoneticPr fontId="12"/>
  </si>
  <si>
    <t>改善後の賃金が年額440万円以上となる者の数</t>
    <phoneticPr fontId="12"/>
  </si>
  <si>
    <t>【記入上の注意】
 ・ 改善後の賃金が年額440万円以上であることは、処遇改善加算による賃金改善額を含む金額で判断すること。</t>
    <rPh sb="19" eb="21">
      <t>ネンガク</t>
    </rPh>
    <rPh sb="35" eb="37">
      <t>ショグウ</t>
    </rPh>
    <rPh sb="37" eb="39">
      <t>カイゼン</t>
    </rPh>
    <rPh sb="39" eb="41">
      <t>カサン</t>
    </rPh>
    <phoneticPr fontId="12"/>
  </si>
  <si>
    <t>改善後の賃金要件を満たす職員は０人であって、令和８年度特例要件は満たす事業所数</t>
    <rPh sb="22" eb="23">
      <t>レイ</t>
    </rPh>
    <phoneticPr fontId="12"/>
  </si>
  <si>
    <t>介護保険
事業所番号</t>
    <rPh sb="0" eb="2">
      <t>カイゴ</t>
    </rPh>
    <rPh sb="2" eb="4">
      <t>ホケン</t>
    </rPh>
    <rPh sb="5" eb="8">
      <t>ジギョウショ</t>
    </rPh>
    <rPh sb="8" eb="10">
      <t>バンゴウ</t>
    </rPh>
    <phoneticPr fontId="12"/>
  </si>
  <si>
    <t>事業所名</t>
    <rPh sb="0" eb="3">
      <t>ジギョウショ</t>
    </rPh>
    <rPh sb="3" eb="4">
      <t>メイ</t>
    </rPh>
    <phoneticPr fontId="12"/>
  </si>
  <si>
    <t>一月あたり介護報酬総単位数（処遇改善加算を除く）[単位]
(a)</t>
    <phoneticPr fontId="12"/>
  </si>
  <si>
    <t>１単位
あたりの
単価[円]
(b)</t>
    <rPh sb="1" eb="3">
      <t>タンイ</t>
    </rPh>
    <rPh sb="9" eb="11">
      <t>タンカ</t>
    </rPh>
    <rPh sb="12" eb="13">
      <t>エン</t>
    </rPh>
    <phoneticPr fontId="12"/>
  </si>
  <si>
    <t>令和８年４・５月に
算定する処遇改善加算の区分</t>
    <rPh sb="0" eb="2">
      <t>レイワ</t>
    </rPh>
    <rPh sb="3" eb="4">
      <t>ネン</t>
    </rPh>
    <rPh sb="7" eb="8">
      <t>ガツ</t>
    </rPh>
    <rPh sb="10" eb="12">
      <t>サンテイ</t>
    </rPh>
    <rPh sb="21" eb="23">
      <t>クブン</t>
    </rPh>
    <phoneticPr fontId="12"/>
  </si>
  <si>
    <t>加
算
率
(c)</t>
    <rPh sb="0" eb="1">
      <t>カ</t>
    </rPh>
    <rPh sb="2" eb="3">
      <t>ザン</t>
    </rPh>
    <rPh sb="4" eb="5">
      <t>リツ</t>
    </rPh>
    <phoneticPr fontId="12"/>
  </si>
  <si>
    <t>算定対象月
(d)
※通常は令和８年４月・５月</t>
    <rPh sb="0" eb="2">
      <t>サンテイ</t>
    </rPh>
    <rPh sb="2" eb="4">
      <t>タイショウ</t>
    </rPh>
    <rPh sb="4" eb="5">
      <t>ツキ</t>
    </rPh>
    <rPh sb="16" eb="18">
      <t>レイワ</t>
    </rPh>
    <rPh sb="19" eb="20">
      <t>ネン</t>
    </rPh>
    <phoneticPr fontId="12"/>
  </si>
  <si>
    <t>処遇改善加算の
見込額[円]
(a×b×c×d)</t>
    <rPh sb="8" eb="10">
      <t>ミコ</t>
    </rPh>
    <rPh sb="10" eb="11">
      <t>ガク</t>
    </rPh>
    <phoneticPr fontId="12"/>
  </si>
  <si>
    <t>①月額賃金要件</t>
    <rPh sb="1" eb="3">
      <t>ゲツガク</t>
    </rPh>
    <rPh sb="3" eb="5">
      <t>チンギン</t>
    </rPh>
    <rPh sb="5" eb="7">
      <t>ヨウケン</t>
    </rPh>
    <phoneticPr fontId="12"/>
  </si>
  <si>
    <t>②・③キャリアパス要件Ⅰ・Ⅱ</t>
    <phoneticPr fontId="12"/>
  </si>
  <si>
    <t>④キャリアパス要件Ⅲ</t>
    <rPh sb="7" eb="9">
      <t>ヨウケン</t>
    </rPh>
    <phoneticPr fontId="2"/>
  </si>
  <si>
    <t>⑤キャリアパス要件Ⅳ</t>
    <rPh sb="7" eb="9">
      <t>ヨウケン</t>
    </rPh>
    <phoneticPr fontId="2"/>
  </si>
  <si>
    <t>⑥キャリアパス要件Ⅴ</t>
    <phoneticPr fontId="12"/>
  </si>
  <si>
    <t>⑦令和８年度
特例要件</t>
    <rPh sb="1" eb="3">
      <t>レイワ</t>
    </rPh>
    <rPh sb="4" eb="6">
      <t>ネンド</t>
    </rPh>
    <rPh sb="7" eb="9">
      <t>トクレイ</t>
    </rPh>
    <rPh sb="9" eb="11">
      <t>ヨウケン</t>
    </rPh>
    <phoneticPr fontId="12"/>
  </si>
  <si>
    <t>（判定用参考式）</t>
    <rPh sb="1" eb="4">
      <t>ハンテイヨウ</t>
    </rPh>
    <rPh sb="4" eb="6">
      <t>サンコウ</t>
    </rPh>
    <rPh sb="6" eb="7">
      <t>シキ</t>
    </rPh>
    <phoneticPr fontId="12"/>
  </si>
  <si>
    <t>都道
府県</t>
    <rPh sb="0" eb="2">
      <t>トドウ</t>
    </rPh>
    <rPh sb="3" eb="5">
      <t>フケン</t>
    </rPh>
    <phoneticPr fontId="12"/>
  </si>
  <si>
    <t>市区
町村</t>
    <rPh sb="0" eb="2">
      <t>シク</t>
    </rPh>
    <rPh sb="3" eb="5">
      <t>チョウソン</t>
    </rPh>
    <phoneticPr fontId="12"/>
  </si>
  <si>
    <t>処遇改善加算Ⅳ相当の加算額の見込額の
１／２</t>
    <rPh sb="7" eb="9">
      <t>ソウトウ</t>
    </rPh>
    <rPh sb="10" eb="13">
      <t>カサンガク</t>
    </rPh>
    <rPh sb="14" eb="16">
      <t>ミコミ</t>
    </rPh>
    <rPh sb="16" eb="17">
      <t>ガク</t>
    </rPh>
    <phoneticPr fontId="12"/>
  </si>
  <si>
    <t>月額賃金要件Ⅰを満たす</t>
    <rPh sb="0" eb="2">
      <t>ゲツガク</t>
    </rPh>
    <rPh sb="2" eb="4">
      <t>チンギン</t>
    </rPh>
    <rPh sb="4" eb="6">
      <t>ヨウケン</t>
    </rPh>
    <rPh sb="8" eb="9">
      <t>ミ</t>
    </rPh>
    <phoneticPr fontId="12"/>
  </si>
  <si>
    <t>任用要件・賃金体系の整備等、研修の実施等</t>
    <rPh sb="0" eb="2">
      <t>ニンヨウ</t>
    </rPh>
    <rPh sb="2" eb="4">
      <t>ヨウケン</t>
    </rPh>
    <rPh sb="5" eb="7">
      <t>チンギン</t>
    </rPh>
    <rPh sb="7" eb="9">
      <t>タイケイ</t>
    </rPh>
    <rPh sb="10" eb="12">
      <t>セイビ</t>
    </rPh>
    <rPh sb="12" eb="13">
      <t>トウ</t>
    </rPh>
    <phoneticPr fontId="12"/>
  </si>
  <si>
    <t>昇給の仕組みの
整備等</t>
    <phoneticPr fontId="12"/>
  </si>
  <si>
    <r>
      <t>改善後の賃金要件</t>
    </r>
    <r>
      <rPr>
        <sz val="11"/>
        <rFont val="ＭＳ Ｐゴシック"/>
        <family val="3"/>
        <charset val="128"/>
      </rPr>
      <t>（年額440万円以上）</t>
    </r>
    <r>
      <rPr>
        <sz val="14"/>
        <rFont val="ＭＳ Ｐゴシック"/>
        <family val="3"/>
        <charset val="128"/>
      </rPr>
      <t>を満たす職員数を記載</t>
    </r>
    <phoneticPr fontId="12"/>
  </si>
  <si>
    <t>改善後の
賃金要件を
満たす職員は
０人であって、
令和８年度
特例要件
は満たす／誓約する</t>
    <rPh sb="42" eb="44">
      <t>セイヤク</t>
    </rPh>
    <phoneticPr fontId="12"/>
  </si>
  <si>
    <t>介護福祉士等の配置要件の状況が分かる加算の算定状況</t>
    <rPh sb="5" eb="6">
      <t>トウ</t>
    </rPh>
    <rPh sb="9" eb="11">
      <t>ヨウケン</t>
    </rPh>
    <rPh sb="12" eb="14">
      <t>ジョウキョウ</t>
    </rPh>
    <rPh sb="15" eb="16">
      <t>ワ</t>
    </rPh>
    <phoneticPr fontId="12"/>
  </si>
  <si>
    <t>生産性向上や協働化に係る取組を実施</t>
    <rPh sb="15" eb="17">
      <t>ジッシ</t>
    </rPh>
    <phoneticPr fontId="12"/>
  </si>
  <si>
    <t>記入上の注意</t>
    <rPh sb="0" eb="2">
      <t>キニュウ</t>
    </rPh>
    <rPh sb="2" eb="3">
      <t>ジョウ</t>
    </rPh>
    <rPh sb="4" eb="6">
      <t>チュウイ</t>
    </rPh>
    <phoneticPr fontId="12"/>
  </si>
  <si>
    <t>処遇改善加算対象サービス</t>
    <rPh sb="0" eb="4">
      <t>ショグウカイゼン</t>
    </rPh>
    <rPh sb="4" eb="6">
      <t>カサン</t>
    </rPh>
    <rPh sb="6" eb="8">
      <t>タイショウ</t>
    </rPh>
    <phoneticPr fontId="12"/>
  </si>
  <si>
    <t>「算定する処遇改善加算の区分」の色付け用（入力要否の判定用）</t>
    <rPh sb="1" eb="3">
      <t>サンテイ</t>
    </rPh>
    <rPh sb="12" eb="14">
      <t>クブン</t>
    </rPh>
    <rPh sb="16" eb="17">
      <t>イロ</t>
    </rPh>
    <rPh sb="17" eb="18">
      <t>ヅ</t>
    </rPh>
    <rPh sb="19" eb="20">
      <t>ヨウ</t>
    </rPh>
    <rPh sb="21" eb="23">
      <t>ニュウリョク</t>
    </rPh>
    <rPh sb="23" eb="25">
      <t>ヨウヒ</t>
    </rPh>
    <rPh sb="26" eb="29">
      <t>ハンテイヨウ</t>
    </rPh>
    <phoneticPr fontId="12"/>
  </si>
  <si>
    <t>①の記入状況チェック</t>
    <rPh sb="2" eb="4">
      <t>キニュウ</t>
    </rPh>
    <rPh sb="4" eb="6">
      <t>ジョウキョウ</t>
    </rPh>
    <phoneticPr fontId="12"/>
  </si>
  <si>
    <t>②・③の記入状況チェック</t>
    <rPh sb="4" eb="6">
      <t>キニュウ</t>
    </rPh>
    <rPh sb="6" eb="8">
      <t>ジョウキョウ</t>
    </rPh>
    <phoneticPr fontId="12"/>
  </si>
  <si>
    <t>④の色付け用（入力要否の判定用）</t>
    <rPh sb="2" eb="3">
      <t>イロ</t>
    </rPh>
    <rPh sb="3" eb="4">
      <t>ヅ</t>
    </rPh>
    <rPh sb="5" eb="6">
      <t>ヨウ</t>
    </rPh>
    <rPh sb="7" eb="9">
      <t>ニュウリョク</t>
    </rPh>
    <rPh sb="9" eb="11">
      <t>ヨウヒ</t>
    </rPh>
    <rPh sb="12" eb="15">
      <t>ハンテイヨウ</t>
    </rPh>
    <phoneticPr fontId="12"/>
  </si>
  <si>
    <t>④の記入状況チェック</t>
    <rPh sb="2" eb="4">
      <t>キニュウ</t>
    </rPh>
    <rPh sb="4" eb="6">
      <t>ジョウキョウ</t>
    </rPh>
    <phoneticPr fontId="12"/>
  </si>
  <si>
    <t>⑤処遇改善加算ⅠまたはⅡを算定の届け出ているか</t>
    <rPh sb="1" eb="3">
      <t>ショグウ</t>
    </rPh>
    <rPh sb="3" eb="5">
      <t>カイゼン</t>
    </rPh>
    <rPh sb="5" eb="7">
      <t>カサン</t>
    </rPh>
    <rPh sb="13" eb="15">
      <t>サンテイ</t>
    </rPh>
    <rPh sb="16" eb="17">
      <t>トド</t>
    </rPh>
    <rPh sb="18" eb="19">
      <t>デ</t>
    </rPh>
    <phoneticPr fontId="12"/>
  </si>
  <si>
    <t>⑤の必要数チェック（併設の場合０）</t>
    <rPh sb="2" eb="4">
      <t>ヒツヨウ</t>
    </rPh>
    <rPh sb="4" eb="5">
      <t>スウ</t>
    </rPh>
    <rPh sb="10" eb="12">
      <t>ヘイセツ</t>
    </rPh>
    <rPh sb="13" eb="15">
      <t>バアイ</t>
    </rPh>
    <phoneticPr fontId="12"/>
  </si>
  <si>
    <t>⑤の色付け用（入力要否の判定用）※令和８年度特例要件</t>
    <rPh sb="2" eb="3">
      <t>イロ</t>
    </rPh>
    <rPh sb="3" eb="4">
      <t>ヅ</t>
    </rPh>
    <rPh sb="5" eb="6">
      <t>ヨウ</t>
    </rPh>
    <rPh sb="7" eb="9">
      <t>ニュウリョク</t>
    </rPh>
    <rPh sb="9" eb="11">
      <t>ヨウヒ</t>
    </rPh>
    <rPh sb="12" eb="15">
      <t>ハンテイヨウ</t>
    </rPh>
    <rPh sb="17" eb="19">
      <t>レイワ</t>
    </rPh>
    <rPh sb="20" eb="22">
      <t>ネンド</t>
    </rPh>
    <rPh sb="22" eb="24">
      <t>トクレイ</t>
    </rPh>
    <rPh sb="24" eb="26">
      <t>ヨウケン</t>
    </rPh>
    <phoneticPr fontId="12"/>
  </si>
  <si>
    <t>⑤の記入状況チェック</t>
    <rPh sb="2" eb="4">
      <t>キニュウ</t>
    </rPh>
    <rPh sb="4" eb="6">
      <t>ジョウキョウ</t>
    </rPh>
    <phoneticPr fontId="12"/>
  </si>
  <si>
    <t>⑥関数用サービスコード</t>
    <rPh sb="1" eb="3">
      <t>カンスウ</t>
    </rPh>
    <rPh sb="3" eb="4">
      <t>ヨウ</t>
    </rPh>
    <phoneticPr fontId="12"/>
  </si>
  <si>
    <t>⑥の色付け用（入力要否の判定用）</t>
    <rPh sb="2" eb="3">
      <t>イロ</t>
    </rPh>
    <rPh sb="3" eb="4">
      <t>ヅ</t>
    </rPh>
    <rPh sb="5" eb="6">
      <t>ヨウ</t>
    </rPh>
    <rPh sb="7" eb="9">
      <t>ニュウリョク</t>
    </rPh>
    <rPh sb="9" eb="11">
      <t>ヨウヒ</t>
    </rPh>
    <rPh sb="12" eb="15">
      <t>ハンテイヨウ</t>
    </rPh>
    <phoneticPr fontId="12"/>
  </si>
  <si>
    <t>⑥の記入状況チェック</t>
    <rPh sb="2" eb="4">
      <t>キニュウ</t>
    </rPh>
    <rPh sb="4" eb="6">
      <t>ジョウキョウ</t>
    </rPh>
    <phoneticPr fontId="12"/>
  </si>
  <si>
    <t>⑦関数用サービスコード</t>
    <rPh sb="1" eb="3">
      <t>カンスウ</t>
    </rPh>
    <rPh sb="3" eb="4">
      <t>ヨウ</t>
    </rPh>
    <phoneticPr fontId="12"/>
  </si>
  <si>
    <t>⑦の色付け用（入力要否の判定用）</t>
    <rPh sb="2" eb="3">
      <t>イロ</t>
    </rPh>
    <rPh sb="3" eb="4">
      <t>ヅ</t>
    </rPh>
    <rPh sb="5" eb="6">
      <t>ヨウ</t>
    </rPh>
    <rPh sb="7" eb="9">
      <t>ニュウリョク</t>
    </rPh>
    <rPh sb="9" eb="11">
      <t>ヨウヒ</t>
    </rPh>
    <rPh sb="12" eb="15">
      <t>ハンテイヨウ</t>
    </rPh>
    <phoneticPr fontId="12"/>
  </si>
  <si>
    <t>⑦の記入状況チェック</t>
    <rPh sb="2" eb="4">
      <t>キニュウ</t>
    </rPh>
    <rPh sb="4" eb="6">
      <t>ジョウキョウ</t>
    </rPh>
    <phoneticPr fontId="12"/>
  </si>
  <si>
    <t>特例要件上の○の処理</t>
    <rPh sb="0" eb="2">
      <t>トクレイ</t>
    </rPh>
    <rPh sb="2" eb="4">
      <t>ヨウケン</t>
    </rPh>
    <rPh sb="4" eb="5">
      <t>ウエ</t>
    </rPh>
    <rPh sb="8" eb="10">
      <t>ショリ</t>
    </rPh>
    <phoneticPr fontId="12"/>
  </si>
  <si>
    <t>（指定権者ソート用）</t>
    <rPh sb="1" eb="5">
      <t>シテイケンジャ</t>
    </rPh>
    <phoneticPr fontId="12"/>
  </si>
  <si>
    <t>特例要件全体の判定用</t>
    <phoneticPr fontId="12"/>
  </si>
  <si>
    <t>キャリアパス要件Ⅳその他判定</t>
    <rPh sb="6" eb="8">
      <t>ヨウケン</t>
    </rPh>
    <rPh sb="11" eb="12">
      <t>タ</t>
    </rPh>
    <rPh sb="12" eb="14">
      <t>ハンテイ</t>
    </rPh>
    <phoneticPr fontId="12"/>
  </si>
  <si>
    <t>年</t>
    <phoneticPr fontId="12"/>
  </si>
  <si>
    <t>月～令和</t>
    <rPh sb="0" eb="1">
      <t>ツキ</t>
    </rPh>
    <rPh sb="2" eb="4">
      <t>レイワ</t>
    </rPh>
    <phoneticPr fontId="12"/>
  </si>
  <si>
    <t>月</t>
    <rPh sb="0" eb="1">
      <t>ツキ</t>
    </rPh>
    <phoneticPr fontId="12"/>
  </si>
  <si>
    <t>（</t>
    <phoneticPr fontId="12"/>
  </si>
  <si>
    <t>ヶ月）</t>
    <rPh sb="1" eb="2">
      <t>ゲツ</t>
    </rPh>
    <phoneticPr fontId="12"/>
  </si>
  <si>
    <t>別紙様式２－３（個票（６月以降））</t>
    <rPh sb="0" eb="2">
      <t>ベッシ</t>
    </rPh>
    <rPh sb="2" eb="4">
      <t>ヨウシキ</t>
    </rPh>
    <rPh sb="8" eb="10">
      <t>コヒョウ</t>
    </rPh>
    <rPh sb="12" eb="13">
      <t>ガツ</t>
    </rPh>
    <rPh sb="13" eb="15">
      <t>イコウ</t>
    </rPh>
    <phoneticPr fontId="12"/>
  </si>
  <si>
    <t>合計</t>
    <rPh sb="0" eb="2">
      <t>ゴウケイ</t>
    </rPh>
    <phoneticPr fontId="12"/>
  </si>
  <si>
    <t>全サービス</t>
    <rPh sb="0" eb="1">
      <t>ゼン</t>
    </rPh>
    <phoneticPr fontId="12"/>
  </si>
  <si>
    <r>
      <rPr>
        <sz val="11"/>
        <rFont val="ＭＳ Ｐゴシック"/>
        <family val="3"/>
        <charset val="128"/>
      </rPr>
      <t>従来から処遇改善加算の対象となっていたサービス</t>
    </r>
    <rPh sb="0" eb="2">
      <t>ジュウライ</t>
    </rPh>
    <rPh sb="4" eb="8">
      <t>ショグウカイゼン</t>
    </rPh>
    <rPh sb="8" eb="10">
      <t>カサン</t>
    </rPh>
    <rPh sb="11" eb="13">
      <t>タイショウ</t>
    </rPh>
    <phoneticPr fontId="12"/>
  </si>
  <si>
    <r>
      <t>令和８年６月</t>
    </r>
    <r>
      <rPr>
        <sz val="11"/>
        <rFont val="ＭＳ Ｐゴシック"/>
        <family val="3"/>
        <charset val="128"/>
      </rPr>
      <t>から新たに処遇改善加算の対象となるサービス</t>
    </r>
    <rPh sb="5" eb="6">
      <t>ガツ</t>
    </rPh>
    <rPh sb="8" eb="9">
      <t>アラ</t>
    </rPh>
    <phoneticPr fontId="12"/>
  </si>
  <si>
    <t>令和８年６月以降に
算定する処遇改善加算の区分</t>
    <rPh sb="0" eb="2">
      <t>レイワ</t>
    </rPh>
    <rPh sb="3" eb="4">
      <t>ネン</t>
    </rPh>
    <rPh sb="5" eb="6">
      <t>ガツ</t>
    </rPh>
    <rPh sb="6" eb="8">
      <t>イコウ</t>
    </rPh>
    <rPh sb="10" eb="12">
      <t>サンテイ</t>
    </rPh>
    <rPh sb="21" eb="23">
      <t>クブン</t>
    </rPh>
    <phoneticPr fontId="12"/>
  </si>
  <si>
    <t>算定対象月
(d)
※通常は令和８年６月から令和９年３月</t>
    <rPh sb="0" eb="2">
      <t>サンテイ</t>
    </rPh>
    <rPh sb="2" eb="4">
      <t>タイショウ</t>
    </rPh>
    <rPh sb="4" eb="5">
      <t>ツキ</t>
    </rPh>
    <rPh sb="16" eb="18">
      <t>レイワ</t>
    </rPh>
    <rPh sb="19" eb="20">
      <t>ネン</t>
    </rPh>
    <rPh sb="24" eb="26">
      <t>レイワ</t>
    </rPh>
    <rPh sb="27" eb="28">
      <t>ネン</t>
    </rPh>
    <rPh sb="29" eb="30">
      <t>ツキ</t>
    </rPh>
    <phoneticPr fontId="12"/>
  </si>
  <si>
    <t>４、５月時点の処遇改善加算対象サービス</t>
    <rPh sb="3" eb="4">
      <t>ガツ</t>
    </rPh>
    <rPh sb="4" eb="6">
      <t>ジテン</t>
    </rPh>
    <phoneticPr fontId="12"/>
  </si>
  <si>
    <t>②・③の選択肢</t>
    <rPh sb="4" eb="7">
      <t>センタクシ</t>
    </rPh>
    <phoneticPr fontId="12"/>
  </si>
  <si>
    <t>⑤の記入状況チェック</t>
    <phoneticPr fontId="12"/>
  </si>
  <si>
    <t>特例要件不要の場合の色消し</t>
    <rPh sb="0" eb="2">
      <t>トクレイ</t>
    </rPh>
    <rPh sb="2" eb="4">
      <t>ヨウケン</t>
    </rPh>
    <rPh sb="4" eb="6">
      <t>フヨウ</t>
    </rPh>
    <rPh sb="7" eb="9">
      <t>バアイ</t>
    </rPh>
    <rPh sb="10" eb="12">
      <t>イロケ</t>
    </rPh>
    <phoneticPr fontId="12"/>
  </si>
  <si>
    <t>新規対象サービスの特例要件判定</t>
    <rPh sb="0" eb="2">
      <t>シンキ</t>
    </rPh>
    <rPh sb="2" eb="4">
      <t>タイショウ</t>
    </rPh>
    <rPh sb="9" eb="11">
      <t>トクレイ</t>
    </rPh>
    <rPh sb="11" eb="13">
      <t>ヨウケン</t>
    </rPh>
    <rPh sb="13" eb="15">
      <t>ハンテイ</t>
    </rPh>
    <phoneticPr fontId="12"/>
  </si>
  <si>
    <t>訪問看護特例要件入力チェック</t>
    <rPh sb="0" eb="2">
      <t>ホウモン</t>
    </rPh>
    <rPh sb="2" eb="4">
      <t>カンゴ</t>
    </rPh>
    <rPh sb="4" eb="6">
      <t>トクレイ</t>
    </rPh>
    <rPh sb="6" eb="8">
      <t>ヨウケン</t>
    </rPh>
    <rPh sb="8" eb="10">
      <t>ニュウリョク</t>
    </rPh>
    <phoneticPr fontId="12"/>
  </si>
  <si>
    <t>特例要件全体の判定用</t>
    <rPh sb="0" eb="2">
      <t>トクレイ</t>
    </rPh>
    <rPh sb="2" eb="4">
      <t>ヨウケン</t>
    </rPh>
    <rPh sb="4" eb="6">
      <t>ゼンタイ</t>
    </rPh>
    <rPh sb="7" eb="9">
      <t>ハンテイ</t>
    </rPh>
    <rPh sb="9" eb="10">
      <t>ヨウ</t>
    </rPh>
    <phoneticPr fontId="12"/>
  </si>
  <si>
    <t>参考１ （ア）・（イ）（任用要件・賃金体系の整備等、研修の実施等）の概要</t>
    <rPh sb="0" eb="2">
      <t>サンコウ</t>
    </rPh>
    <rPh sb="34" eb="36">
      <t>ガイヨウ</t>
    </rPh>
    <phoneticPr fontId="12"/>
  </si>
  <si>
    <t>（ア）任用要件・賃金体系の整備等</t>
    <rPh sb="3" eb="5">
      <t>ニンヨウ</t>
    </rPh>
    <rPh sb="5" eb="7">
      <t>ヨウケン</t>
    </rPh>
    <phoneticPr fontId="12"/>
  </si>
  <si>
    <t>基準を満たしている又は遅くとも実績報告書の提出までに次の一から三までのすべての基準を満たす。</t>
    <rPh sb="0" eb="2">
      <t>キジュン</t>
    </rPh>
    <rPh sb="3" eb="4">
      <t>ミ</t>
    </rPh>
    <rPh sb="9" eb="10">
      <t>マタ</t>
    </rPh>
    <rPh sb="11" eb="12">
      <t>オソ</t>
    </rPh>
    <rPh sb="15" eb="17">
      <t>ジッセキ</t>
    </rPh>
    <rPh sb="17" eb="20">
      <t>ホウコクショ</t>
    </rPh>
    <rPh sb="21" eb="23">
      <t>テイシュツ</t>
    </rPh>
    <rPh sb="28" eb="29">
      <t>イチ</t>
    </rPh>
    <rPh sb="31" eb="32">
      <t>サン</t>
    </rPh>
    <rPh sb="39" eb="41">
      <t>キジュン</t>
    </rPh>
    <phoneticPr fontId="12"/>
  </si>
  <si>
    <t>一</t>
    <rPh sb="0" eb="1">
      <t>イチ</t>
    </rPh>
    <phoneticPr fontId="12"/>
  </si>
  <si>
    <t>職員の任用における職位、職責又は職務内容等の要件を定めている。</t>
    <rPh sb="0" eb="2">
      <t>ショクイン</t>
    </rPh>
    <rPh sb="3" eb="5">
      <t>ニンヨウ</t>
    </rPh>
    <phoneticPr fontId="12"/>
  </si>
  <si>
    <t>二</t>
    <rPh sb="0" eb="1">
      <t>ニ</t>
    </rPh>
    <phoneticPr fontId="12"/>
  </si>
  <si>
    <t>二に掲げる職位、職責又は職務内容等に応じた賃金体系を定めている。</t>
    <rPh sb="0" eb="1">
      <t>ニ</t>
    </rPh>
    <rPh sb="2" eb="3">
      <t>カカ</t>
    </rPh>
    <phoneticPr fontId="12"/>
  </si>
  <si>
    <t>三</t>
    <rPh sb="0" eb="1">
      <t>サン</t>
    </rPh>
    <phoneticPr fontId="12"/>
  </si>
  <si>
    <t>一及び二について、就業規則等の明確な根拠規定を書面で整備し、全ての職員に周知している。</t>
    <rPh sb="0" eb="1">
      <t>イチ</t>
    </rPh>
    <rPh sb="1" eb="2">
      <t>オヨ</t>
    </rPh>
    <rPh sb="3" eb="4">
      <t>ニ</t>
    </rPh>
    <rPh sb="9" eb="11">
      <t>シュウギョウ</t>
    </rPh>
    <rPh sb="11" eb="13">
      <t>キソク</t>
    </rPh>
    <rPh sb="13" eb="14">
      <t>トウ</t>
    </rPh>
    <rPh sb="15" eb="17">
      <t>メイカク</t>
    </rPh>
    <rPh sb="18" eb="20">
      <t>コンキョ</t>
    </rPh>
    <rPh sb="20" eb="22">
      <t>キテイ</t>
    </rPh>
    <rPh sb="23" eb="25">
      <t>ショメン</t>
    </rPh>
    <rPh sb="26" eb="28">
      <t>セイビ</t>
    </rPh>
    <rPh sb="30" eb="31">
      <t>スベ</t>
    </rPh>
    <phoneticPr fontId="12"/>
  </si>
  <si>
    <t>（イ）研修の実施等</t>
    <rPh sb="3" eb="5">
      <t>ケンシュウ</t>
    </rPh>
    <rPh sb="6" eb="8">
      <t>ジッシ</t>
    </rPh>
    <phoneticPr fontId="12"/>
  </si>
  <si>
    <t>基準を満たしている又は遅くとも実績報告書の提出までに次の一と二の両方の基準を満たす。</t>
    <rPh sb="0" eb="2">
      <t>キジュン</t>
    </rPh>
    <rPh sb="3" eb="4">
      <t>ミ</t>
    </rPh>
    <rPh sb="9" eb="10">
      <t>マタ</t>
    </rPh>
    <rPh sb="28" eb="29">
      <t>イチ</t>
    </rPh>
    <rPh sb="30" eb="31">
      <t>ニ</t>
    </rPh>
    <rPh sb="32" eb="34">
      <t>リョウホウ</t>
    </rPh>
    <rPh sb="35" eb="37">
      <t>キジュン</t>
    </rPh>
    <phoneticPr fontId="12"/>
  </si>
  <si>
    <t>一</t>
    <phoneticPr fontId="12"/>
  </si>
  <si>
    <t>職員の職務内容等を踏まえ、職員と意見交換しながら、資質向上の目標及びa.・b.のうち少なくともいずれかに関する具体的な計画を策定し、研修の実施又は研修の機会を確保している。</t>
    <rPh sb="0" eb="2">
      <t>ショクイン</t>
    </rPh>
    <rPh sb="3" eb="5">
      <t>ショクム</t>
    </rPh>
    <rPh sb="5" eb="7">
      <t>ナイヨウ</t>
    </rPh>
    <rPh sb="7" eb="8">
      <t>トウ</t>
    </rPh>
    <rPh sb="9" eb="10">
      <t>フ</t>
    </rPh>
    <rPh sb="25" eb="27">
      <t>シシツ</t>
    </rPh>
    <rPh sb="27" eb="29">
      <t>コウジョウ</t>
    </rPh>
    <rPh sb="30" eb="32">
      <t>モクヒョウ</t>
    </rPh>
    <rPh sb="32" eb="33">
      <t>オヨ</t>
    </rPh>
    <rPh sb="42" eb="43">
      <t>スク</t>
    </rPh>
    <rPh sb="52" eb="53">
      <t>カン</t>
    </rPh>
    <rPh sb="55" eb="58">
      <t>グタイテキ</t>
    </rPh>
    <rPh sb="59" eb="61">
      <t>ケイカク</t>
    </rPh>
    <rPh sb="62" eb="64">
      <t>サクテイ</t>
    </rPh>
    <rPh sb="66" eb="68">
      <t>ケンシュウ</t>
    </rPh>
    <rPh sb="69" eb="71">
      <t>ジッシ</t>
    </rPh>
    <rPh sb="71" eb="72">
      <t>マタ</t>
    </rPh>
    <rPh sb="73" eb="75">
      <t>ケンシュウ</t>
    </rPh>
    <rPh sb="76" eb="78">
      <t>キカイ</t>
    </rPh>
    <rPh sb="79" eb="81">
      <t>カクホ</t>
    </rPh>
    <phoneticPr fontId="12"/>
  </si>
  <si>
    <t>一の実現のための具体的な取組内容</t>
    <rPh sb="0" eb="1">
      <t>イチ</t>
    </rPh>
    <rPh sb="14" eb="16">
      <t>ナイヨウ</t>
    </rPh>
    <phoneticPr fontId="12"/>
  </si>
  <si>
    <t>a.</t>
    <phoneticPr fontId="12"/>
  </si>
  <si>
    <t>資質向上のための計画に沿って、研修機会の提供又は技術指導等を実施するとともに、職員の能力評価を行う。</t>
    <phoneticPr fontId="12"/>
  </si>
  <si>
    <t>b.</t>
    <phoneticPr fontId="12"/>
  </si>
  <si>
    <t>資格取得のための支援の実施</t>
    <rPh sb="0" eb="2">
      <t>シカク</t>
    </rPh>
    <rPh sb="2" eb="4">
      <t>シュトク</t>
    </rPh>
    <rPh sb="8" eb="10">
      <t>シエン</t>
    </rPh>
    <rPh sb="11" eb="13">
      <t>ジッシ</t>
    </rPh>
    <phoneticPr fontId="12"/>
  </si>
  <si>
    <t>二</t>
    <phoneticPr fontId="12"/>
  </si>
  <si>
    <t>一について、全ての職員に周知している。</t>
    <rPh sb="6" eb="7">
      <t>スベ</t>
    </rPh>
    <phoneticPr fontId="12"/>
  </si>
  <si>
    <t>参考２　キャリアパス・賃金規程例（小規模事業所用）</t>
    <rPh sb="0" eb="2">
      <t>サンコウ</t>
    </rPh>
    <rPh sb="11" eb="13">
      <t>チンギン</t>
    </rPh>
    <rPh sb="13" eb="15">
      <t>キテイ</t>
    </rPh>
    <rPh sb="15" eb="16">
      <t>レイ</t>
    </rPh>
    <rPh sb="17" eb="20">
      <t>ショウキボ</t>
    </rPh>
    <rPh sb="20" eb="23">
      <t>ジギョウショ</t>
    </rPh>
    <rPh sb="23" eb="24">
      <t>ヨウ</t>
    </rPh>
    <phoneticPr fontId="57"/>
  </si>
  <si>
    <t>例：訪問系（簡易版）</t>
    <rPh sb="0" eb="1">
      <t xml:space="preserve">レイ </t>
    </rPh>
    <rPh sb="2" eb="5">
      <t>カンイバン</t>
    </rPh>
    <phoneticPr fontId="57"/>
  </si>
  <si>
    <t>職位・役職</t>
    <rPh sb="0" eb="2">
      <t>ショクイ</t>
    </rPh>
    <rPh sb="3" eb="5">
      <t>ヤクショク</t>
    </rPh>
    <phoneticPr fontId="12"/>
  </si>
  <si>
    <t>職責</t>
    <rPh sb="0" eb="2">
      <t>ショクセキ</t>
    </rPh>
    <phoneticPr fontId="12"/>
  </si>
  <si>
    <t>任用要件</t>
    <rPh sb="0" eb="2">
      <t>ニンヨウ</t>
    </rPh>
    <rPh sb="2" eb="4">
      <t>ヨウケン</t>
    </rPh>
    <phoneticPr fontId="12"/>
  </si>
  <si>
    <t>給与
（常勤・月給）</t>
    <rPh sb="7" eb="9">
      <t>ゲッキュウ</t>
    </rPh>
    <phoneticPr fontId="57"/>
  </si>
  <si>
    <t>給与
（非常勤・時給）</t>
    <rPh sb="0" eb="2">
      <t>キュウヨ</t>
    </rPh>
    <rPh sb="4" eb="7">
      <t>ヒジョウキン</t>
    </rPh>
    <rPh sb="8" eb="10">
      <t>ジキュウ</t>
    </rPh>
    <phoneticPr fontId="12"/>
  </si>
  <si>
    <t>上級
（主任）</t>
    <rPh sb="0" eb="2">
      <t>ジョウキュウ</t>
    </rPh>
    <rPh sb="4" eb="6">
      <t>シュニン</t>
    </rPh>
    <phoneticPr fontId="12"/>
  </si>
  <si>
    <t>高度な業務の遂行
他の従業員への指導</t>
    <rPh sb="0" eb="2">
      <t>コウド</t>
    </rPh>
    <rPh sb="6" eb="8">
      <t>スイコウ</t>
    </rPh>
    <phoneticPr fontId="12"/>
  </si>
  <si>
    <t>●年以上</t>
    <phoneticPr fontId="12"/>
  </si>
  <si>
    <t>常勤（月給）
・基本給 ●●●円～
・経験手当 ＋●●円
・役職手当 ＋●●円</t>
    <rPh sb="0" eb="2">
      <t>ジョウキン</t>
    </rPh>
    <rPh sb="19" eb="21">
      <t>ケイケン</t>
    </rPh>
    <rPh sb="38" eb="39">
      <t>エン</t>
    </rPh>
    <phoneticPr fontId="12"/>
  </si>
  <si>
    <t>非常勤（時給）
・●●　円
・経験手当 ＋●●円</t>
    <phoneticPr fontId="12"/>
  </si>
  <si>
    <t>中級</t>
    <rPh sb="0" eb="2">
      <t>チュウキュウ</t>
    </rPh>
    <phoneticPr fontId="12"/>
  </si>
  <si>
    <t>通常の介護業務
他の従業員への助言</t>
    <rPh sb="3" eb="5">
      <t>カイゴ</t>
    </rPh>
    <phoneticPr fontId="12"/>
  </si>
  <si>
    <t>●年以上</t>
    <rPh sb="1" eb="2">
      <t>ネン</t>
    </rPh>
    <rPh sb="2" eb="4">
      <t>イジョウ</t>
    </rPh>
    <phoneticPr fontId="12"/>
  </si>
  <si>
    <t>常勤（月給）
・基本給 ●●●円～
・資格手当 ＋●●円</t>
    <rPh sb="0" eb="2">
      <t>ジョウキン</t>
    </rPh>
    <rPh sb="19" eb="21">
      <t>シカク</t>
    </rPh>
    <phoneticPr fontId="12"/>
  </si>
  <si>
    <r>
      <t>非常勤（時給）
・</t>
    </r>
    <r>
      <rPr>
        <sz val="20"/>
        <rFont val="Segoe UI Symbol"/>
        <family val="3"/>
      </rPr>
      <t>●●</t>
    </r>
    <r>
      <rPr>
        <sz val="20"/>
        <rFont val="ＭＳ ゴシック"/>
        <family val="3"/>
        <charset val="128"/>
      </rPr>
      <t>　円</t>
    </r>
    <r>
      <rPr>
        <sz val="20"/>
        <rFont val="ＭＳゴシック"/>
        <family val="3"/>
      </rPr>
      <t xml:space="preserve">
</t>
    </r>
    <r>
      <rPr>
        <sz val="20"/>
        <rFont val="ＭＳ ゴシック"/>
        <family val="3"/>
        <charset val="128"/>
      </rPr>
      <t>・資格手当</t>
    </r>
    <r>
      <rPr>
        <sz val="20"/>
        <rFont val="ＭＳゴシック"/>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</si>
  <si>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初級</t>
    <rPh sb="0" eb="2">
      <t>ショキュウ</t>
    </rPh>
    <phoneticPr fontId="12"/>
  </si>
  <si>
    <t>通常の介護業務</t>
    <rPh sb="3" eb="5">
      <t>カイゴ</t>
    </rPh>
    <phoneticPr fontId="12"/>
  </si>
  <si>
    <t>入社時～</t>
    <rPh sb="2" eb="3">
      <t>ジ</t>
    </rPh>
    <phoneticPr fontId="12"/>
  </si>
  <si>
    <t>常勤（月給）
・基本給 ●●●円～
・資格手当 ＋●●円</t>
    <rPh sb="0" eb="2">
      <t>ジョウキン</t>
    </rPh>
    <rPh sb="19" eb="21">
      <t>シカク</t>
    </rPh>
    <rPh sb="21" eb="23">
      <t>テアテ</t>
    </rPh>
    <rPh sb="27" eb="28">
      <t>エン</t>
    </rPh>
    <phoneticPr fontId="12"/>
  </si>
  <si>
    <r>
      <t>非常勤（時給）
・</t>
    </r>
    <r>
      <rPr>
        <sz val="20"/>
        <rFont val="Segoe UI Symbol"/>
        <family val="3"/>
      </rPr>
      <t>●●</t>
    </r>
    <r>
      <rPr>
        <sz val="20"/>
        <rFont val="ＭＳ ゴシック"/>
        <family val="3"/>
        <charset val="128"/>
      </rPr>
      <t>　円</t>
    </r>
    <r>
      <rPr>
        <sz val="20"/>
        <rFont val="Calibri"/>
        <family val="3"/>
      </rPr>
      <t xml:space="preserve">
</t>
    </r>
    <r>
      <rPr>
        <sz val="20"/>
        <rFont val="ＭＳ ゴシック"/>
        <family val="3"/>
        <charset val="128"/>
      </rPr>
      <t>・資格手当</t>
    </r>
    <r>
      <rPr>
        <sz val="20"/>
        <rFont val="Calibri"/>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</si>
  <si>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　注　「任用要件」欄に記載の勤続年数又は研修の受講状況に応じて昇給するものとし、職位に応じた給与を支給する。
　　　「給与」欄に記載のない手当として、通勤手当（●●円）、研修受講手当（●●円）を支給する。
　　　また、介護職員等処遇改善加算の加算額は、経験手当・資格手当への上乗せとして、１人当たり●●円～●●円の範囲内で配分する。</t>
    <rPh sb="1" eb="2">
      <t>チュウ</t>
    </rPh>
    <rPh sb="4" eb="6">
      <t>ニンヨウ</t>
    </rPh>
    <rPh sb="6" eb="8">
      <t>ヨウケン</t>
    </rPh>
    <rPh sb="9" eb="10">
      <t>ラン</t>
    </rPh>
    <rPh sb="11" eb="13">
      <t>キサイ</t>
    </rPh>
    <rPh sb="14" eb="16">
      <t>キンゾク</t>
    </rPh>
    <rPh sb="16" eb="18">
      <t>ネンスウ</t>
    </rPh>
    <rPh sb="18" eb="19">
      <t>マタ</t>
    </rPh>
    <rPh sb="20" eb="22">
      <t>ケンシュウ</t>
    </rPh>
    <rPh sb="23" eb="25">
      <t>ジュコウ</t>
    </rPh>
    <rPh sb="25" eb="27">
      <t>ジョウキョウ</t>
    </rPh>
    <rPh sb="28" eb="29">
      <t>オウ</t>
    </rPh>
    <rPh sb="31" eb="33">
      <t>ショウキュウ</t>
    </rPh>
    <rPh sb="40" eb="42">
      <t>ショクイ</t>
    </rPh>
    <rPh sb="43" eb="44">
      <t>オウ</t>
    </rPh>
    <rPh sb="46" eb="48">
      <t>キュウヨ</t>
    </rPh>
    <rPh sb="49" eb="51">
      <t>シキュウ</t>
    </rPh>
    <rPh sb="59" eb="61">
      <t>キュウヨ</t>
    </rPh>
    <rPh sb="62" eb="63">
      <t>ラン</t>
    </rPh>
    <rPh sb="64" eb="66">
      <t>キサイ</t>
    </rPh>
    <rPh sb="69" eb="71">
      <t>テアテ</t>
    </rPh>
    <rPh sb="75" eb="77">
      <t>ツウキン</t>
    </rPh>
    <rPh sb="77" eb="79">
      <t>テアテ</t>
    </rPh>
    <rPh sb="82" eb="83">
      <t>エン</t>
    </rPh>
    <rPh sb="85" eb="87">
      <t>ケンシュウ</t>
    </rPh>
    <rPh sb="87" eb="89">
      <t>ジュコウ</t>
    </rPh>
    <rPh sb="89" eb="91">
      <t>テアテ</t>
    </rPh>
    <rPh sb="94" eb="95">
      <t>エン</t>
    </rPh>
    <rPh sb="97" eb="99">
      <t>シキュウ</t>
    </rPh>
    <rPh sb="109" eb="111">
      <t>カイゴ</t>
    </rPh>
    <rPh sb="111" eb="113">
      <t>ショクイン</t>
    </rPh>
    <rPh sb="113" eb="114">
      <t>トウ</t>
    </rPh>
    <rPh sb="114" eb="120">
      <t>ショグウカイゼンカサン</t>
    </rPh>
    <rPh sb="121" eb="123">
      <t>カサン</t>
    </rPh>
    <rPh sb="123" eb="124">
      <t>ガク</t>
    </rPh>
    <rPh sb="126" eb="128">
      <t>ケイケン</t>
    </rPh>
    <rPh sb="128" eb="130">
      <t>テアテ</t>
    </rPh>
    <rPh sb="131" eb="133">
      <t>シカク</t>
    </rPh>
    <rPh sb="133" eb="135">
      <t>テアテ</t>
    </rPh>
    <rPh sb="137" eb="139">
      <t>ウワノ</t>
    </rPh>
    <rPh sb="146" eb="147">
      <t>ア</t>
    </rPh>
    <rPh sb="151" eb="152">
      <t>エン</t>
    </rPh>
    <rPh sb="155" eb="156">
      <t>エン</t>
    </rPh>
    <rPh sb="157" eb="160">
      <t>ハンイナイ</t>
    </rPh>
    <rPh sb="161" eb="163">
      <t>ハイブン</t>
    </rPh>
    <phoneticPr fontId="12"/>
  </si>
  <si>
    <t>（研修計画）</t>
    <rPh sb="1" eb="3">
      <t>ケンシュウ</t>
    </rPh>
    <rPh sb="3" eb="5">
      <t>ケイカク</t>
    </rPh>
    <phoneticPr fontId="57"/>
  </si>
  <si>
    <t>　・ 個別の希望に基づく研修計画を作成し、年●回以上●●研修をオンラインで受講。
　・ 上記の他、月２回ランチミーティングを行い、ケアの向上に資する業務の中での気づきの共有やお互いへのフィードバックを行う。
　・ 実務経験が●年以上の介護職員が●年目までに実務者研修を受講した場合、受講費用の補助として、●●万円を支給。</t>
    <rPh sb="3" eb="5">
      <t>コベツ</t>
    </rPh>
    <rPh sb="6" eb="8">
      <t>キボウ</t>
    </rPh>
    <rPh sb="9" eb="10">
      <t>モト</t>
    </rPh>
    <rPh sb="12" eb="14">
      <t>ケンシュウ</t>
    </rPh>
    <rPh sb="14" eb="16">
      <t>ケイカク</t>
    </rPh>
    <rPh sb="17" eb="19">
      <t>サクセイ</t>
    </rPh>
    <rPh sb="21" eb="22">
      <t>ネン</t>
    </rPh>
    <rPh sb="23" eb="24">
      <t>カイ</t>
    </rPh>
    <rPh sb="24" eb="26">
      <t>イジョウ</t>
    </rPh>
    <rPh sb="28" eb="30">
      <t>ケンシュウ</t>
    </rPh>
    <rPh sb="37" eb="39">
      <t>ジュコウ</t>
    </rPh>
    <rPh sb="44" eb="46">
      <t>ジョウキ</t>
    </rPh>
    <rPh sb="47" eb="48">
      <t>タ</t>
    </rPh>
    <rPh sb="49" eb="50">
      <t>ツキ</t>
    </rPh>
    <rPh sb="51" eb="52">
      <t>カイ</t>
    </rPh>
    <rPh sb="62" eb="63">
      <t>オコナ</t>
    </rPh>
    <rPh sb="68" eb="70">
      <t>コウジョウ</t>
    </rPh>
    <rPh sb="71" eb="72">
      <t>シ</t>
    </rPh>
    <rPh sb="74" eb="76">
      <t>ギョウム</t>
    </rPh>
    <rPh sb="77" eb="78">
      <t>ナカ</t>
    </rPh>
    <rPh sb="80" eb="81">
      <t>キ</t>
    </rPh>
    <rPh sb="84" eb="86">
      <t>キョウユウ</t>
    </rPh>
    <rPh sb="88" eb="89">
      <t>タガ</t>
    </rPh>
    <rPh sb="100" eb="101">
      <t>オコナ</t>
    </rPh>
    <phoneticPr fontId="57"/>
  </si>
  <si>
    <t>表１　交付率一覧</t>
    <rPh sb="0" eb="1">
      <t>ヒョウ</t>
    </rPh>
    <rPh sb="3" eb="6">
      <t>コウフリツ</t>
    </rPh>
    <rPh sb="6" eb="8">
      <t>イチラン</t>
    </rPh>
    <phoneticPr fontId="12"/>
  </si>
  <si>
    <t>表２　６月以降に算定可能な加算区分</t>
    <rPh sb="0" eb="1">
      <t>ヒョウ</t>
    </rPh>
    <rPh sb="4" eb="5">
      <t>ガツ</t>
    </rPh>
    <rPh sb="5" eb="7">
      <t>イコウ</t>
    </rPh>
    <rPh sb="8" eb="10">
      <t>サンテイ</t>
    </rPh>
    <rPh sb="10" eb="12">
      <t>カノウ</t>
    </rPh>
    <rPh sb="13" eb="15">
      <t>カサン</t>
    </rPh>
    <rPh sb="15" eb="17">
      <t>クブン</t>
    </rPh>
    <phoneticPr fontId="12"/>
  </si>
  <si>
    <t>表３　提出先一覧</t>
    <rPh sb="0" eb="1">
      <t>ヒョウ</t>
    </rPh>
    <rPh sb="3" eb="5">
      <t>テイシュツ</t>
    </rPh>
    <rPh sb="5" eb="6">
      <t>サキ</t>
    </rPh>
    <rPh sb="6" eb="8">
      <t>イチラン</t>
    </rPh>
    <phoneticPr fontId="12"/>
  </si>
  <si>
    <t>表４　事業所の所在地</t>
    <rPh sb="0" eb="1">
      <t>ヒョウ</t>
    </rPh>
    <rPh sb="3" eb="6">
      <t>ジギョウショ</t>
    </rPh>
    <rPh sb="7" eb="10">
      <t>ショザイチ</t>
    </rPh>
    <phoneticPr fontId="12"/>
  </si>
  <si>
    <t>表５　１単位あたりの単価</t>
    <rPh sb="0" eb="1">
      <t>ヒョウ</t>
    </rPh>
    <rPh sb="4" eb="6">
      <t>タンイ</t>
    </rPh>
    <rPh sb="10" eb="12">
      <t>タンカ</t>
    </rPh>
    <phoneticPr fontId="12"/>
  </si>
  <si>
    <t>表６　選択様式</t>
    <rPh sb="0" eb="1">
      <t>ヒョウ</t>
    </rPh>
    <rPh sb="3" eb="5">
      <t>センタク</t>
    </rPh>
    <rPh sb="5" eb="7">
      <t>ヨウシキ</t>
    </rPh>
    <phoneticPr fontId="12"/>
  </si>
  <si>
    <t>表８　選択様式（誓約簡略化）</t>
    <rPh sb="0" eb="1">
      <t>ヒョウ</t>
    </rPh>
    <rPh sb="3" eb="5">
      <t>センタク</t>
    </rPh>
    <rPh sb="5" eb="7">
      <t>ヨウシキ</t>
    </rPh>
    <rPh sb="8" eb="10">
      <t>セイヤク</t>
    </rPh>
    <rPh sb="10" eb="12">
      <t>カンリャク</t>
    </rPh>
    <rPh sb="12" eb="13">
      <t>カ</t>
    </rPh>
    <phoneticPr fontId="12"/>
  </si>
  <si>
    <t>表７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12"/>
  </si>
  <si>
    <t>表８　キャリアパス要件Ⅴ（介護福祉士等の配置要件）</t>
    <rPh sb="0" eb="1">
      <t>ヒョウ</t>
    </rPh>
    <rPh sb="9" eb="11">
      <t>ヨウケン</t>
    </rPh>
    <rPh sb="13" eb="18">
      <t>カイゴフクシシ</t>
    </rPh>
    <rPh sb="18" eb="19">
      <t>トウ</t>
    </rPh>
    <rPh sb="20" eb="22">
      <t>ハイチ</t>
    </rPh>
    <rPh sb="22" eb="24">
      <t>ヨウケン</t>
    </rPh>
    <phoneticPr fontId="12"/>
  </si>
  <si>
    <t>表９　令和８年度特例要件</t>
    <rPh sb="0" eb="1">
      <t>ヒョウ</t>
    </rPh>
    <rPh sb="3" eb="5">
      <t>レイワ</t>
    </rPh>
    <rPh sb="6" eb="8">
      <t>ネンド</t>
    </rPh>
    <rPh sb="8" eb="10">
      <t>トクレイ</t>
    </rPh>
    <rPh sb="10" eb="12">
      <t>ヨウケン</t>
    </rPh>
    <phoneticPr fontId="12"/>
  </si>
  <si>
    <t>表10</t>
    <rPh sb="0" eb="1">
      <t>ヒョウ</t>
    </rPh>
    <phoneticPr fontId="12"/>
  </si>
  <si>
    <t>表11　選択様式</t>
    <rPh sb="0" eb="1">
      <t>ヒョウ</t>
    </rPh>
    <rPh sb="4" eb="6">
      <t>センタク</t>
    </rPh>
    <rPh sb="6" eb="8">
      <t>ヨウシキ</t>
    </rPh>
    <phoneticPr fontId="12"/>
  </si>
  <si>
    <t>サービス区分</t>
    <phoneticPr fontId="12"/>
  </si>
  <si>
    <t>コード値</t>
    <rPh sb="3" eb="4">
      <t>チ</t>
    </rPh>
    <phoneticPr fontId="90"/>
  </si>
  <si>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12"/>
  </si>
  <si>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12"/>
  </si>
  <si>
    <t>処遇改善加算</t>
    <rPh sb="0" eb="4">
      <t>ショグウカイゼン</t>
    </rPh>
    <rPh sb="4" eb="6">
      <t>カサン</t>
    </rPh>
    <phoneticPr fontId="12"/>
  </si>
  <si>
    <t>分類</t>
    <rPh sb="0" eb="2">
      <t>ブンルイ</t>
    </rPh>
    <phoneticPr fontId="12"/>
  </si>
  <si>
    <t>４、５月時点の分類</t>
    <rPh sb="3" eb="4">
      <t>ガツ</t>
    </rPh>
    <rPh sb="4" eb="6">
      <t>ジテン</t>
    </rPh>
    <rPh sb="7" eb="9">
      <t>ブンルイ</t>
    </rPh>
    <phoneticPr fontId="12"/>
  </si>
  <si>
    <t>市区町村</t>
    <rPh sb="0" eb="4">
      <t>シクチョウソン</t>
    </rPh>
    <phoneticPr fontId="12"/>
  </si>
  <si>
    <t>級地</t>
    <rPh sb="0" eb="2">
      <t>キュウチ</t>
    </rPh>
    <phoneticPr fontId="57"/>
  </si>
  <si>
    <t>上乗せ割合</t>
    <rPh sb="0" eb="2">
      <t>ウワノ</t>
    </rPh>
    <rPh sb="3" eb="5">
      <t>ワリアイ</t>
    </rPh>
    <phoneticPr fontId="57"/>
  </si>
  <si>
    <t>市区町村</t>
    <rPh sb="0" eb="4">
      <t>シクチョウソン</t>
    </rPh>
    <phoneticPr fontId="64"/>
  </si>
  <si>
    <t>組み合わせ</t>
    <rPh sb="0" eb="1">
      <t>ク</t>
    </rPh>
    <rPh sb="2" eb="3">
      <t>ア</t>
    </rPh>
    <phoneticPr fontId="12"/>
  </si>
  <si>
    <t>介護サービス</t>
    <rPh sb="0" eb="2">
      <t>カイゴ</t>
    </rPh>
    <phoneticPr fontId="57"/>
  </si>
  <si>
    <t>人件費割合</t>
    <rPh sb="0" eb="3">
      <t>ジンケンヒ</t>
    </rPh>
    <rPh sb="3" eb="5">
      <t>ワリアイ</t>
    </rPh>
    <phoneticPr fontId="57"/>
  </si>
  <si>
    <t>チェックボックス</t>
    <phoneticPr fontId="12"/>
  </si>
  <si>
    <t>誓約</t>
    <rPh sb="0" eb="2">
      <t>セイヤク</t>
    </rPh>
    <phoneticPr fontId="12"/>
  </si>
  <si>
    <t>対象</t>
    <rPh sb="0" eb="2">
      <t>タイショウ</t>
    </rPh>
    <phoneticPr fontId="12"/>
  </si>
  <si>
    <t>介護福祉士等の配置要件</t>
    <rPh sb="0" eb="5">
      <t>カイゴフクシシ</t>
    </rPh>
    <rPh sb="5" eb="6">
      <t>トウ</t>
    </rPh>
    <rPh sb="7" eb="9">
      <t>ハイチ</t>
    </rPh>
    <rPh sb="9" eb="11">
      <t>ヨウケン</t>
    </rPh>
    <phoneticPr fontId="12"/>
  </si>
  <si>
    <t>要件</t>
    <rPh sb="0" eb="2">
      <t>ヨウケン</t>
    </rPh>
    <phoneticPr fontId="12"/>
  </si>
  <si>
    <t>○</t>
    <phoneticPr fontId="12"/>
  </si>
  <si>
    <t>処遇改善加算Ⅰ</t>
  </si>
  <si>
    <t>処遇改善加算Ⅱ</t>
  </si>
  <si>
    <t>処遇改善加算Ⅲ</t>
  </si>
  <si>
    <t>処遇改善加算Ⅳ</t>
  </si>
  <si>
    <t>処遇改善加算Ⅰイ</t>
    <phoneticPr fontId="12"/>
  </si>
  <si>
    <t>処遇改善加算Ⅰロ</t>
    <phoneticPr fontId="12"/>
  </si>
  <si>
    <t>処遇改善加算Ⅱイ</t>
    <phoneticPr fontId="12"/>
  </si>
  <si>
    <t>処遇改善加算Ⅱロ</t>
    <phoneticPr fontId="12"/>
  </si>
  <si>
    <t>処遇改善加算Ⅲ</t>
    <phoneticPr fontId="12"/>
  </si>
  <si>
    <t>処遇改善加算Ⅳ</t>
    <phoneticPr fontId="12"/>
  </si>
  <si>
    <t>処遇改善加算</t>
    <rPh sb="0" eb="2">
      <t>ショグウ</t>
    </rPh>
    <rPh sb="2" eb="4">
      <t>カイゼン</t>
    </rPh>
    <rPh sb="4" eb="6">
      <t>カサン</t>
    </rPh>
    <phoneticPr fontId="12"/>
  </si>
  <si>
    <t>加算対象</t>
    <rPh sb="0" eb="2">
      <t>カサン</t>
    </rPh>
    <rPh sb="2" eb="4">
      <t>タイショウ</t>
    </rPh>
    <phoneticPr fontId="12"/>
  </si>
  <si>
    <t>加算対象外</t>
    <rPh sb="0" eb="2">
      <t>カサン</t>
    </rPh>
    <rPh sb="2" eb="5">
      <t>タイショウガイ</t>
    </rPh>
    <phoneticPr fontId="12"/>
  </si>
  <si>
    <t>北海道</t>
    <phoneticPr fontId="12"/>
  </si>
  <si>
    <t>札幌市</t>
  </si>
  <si>
    <t>1級地</t>
    <rPh sb="1" eb="3">
      <t>キュウチ</t>
    </rPh>
    <phoneticPr fontId="57"/>
  </si>
  <si>
    <t>東京都</t>
    <rPh sb="0" eb="2">
      <t>トウキョウ</t>
    </rPh>
    <rPh sb="2" eb="3">
      <t>ト</t>
    </rPh>
    <phoneticPr fontId="12"/>
  </si>
  <si>
    <t>千代田区</t>
    <rPh sb="0" eb="4">
      <t>チヨダク</t>
    </rPh>
    <phoneticPr fontId="3"/>
  </si>
  <si>
    <t>訪問介護</t>
  </si>
  <si>
    <t>✓</t>
    <phoneticPr fontId="12"/>
  </si>
  <si>
    <t>訪問介護Ⅴ</t>
  </si>
  <si>
    <t>特定事業所加算Ⅰ</t>
    <rPh sb="0" eb="7">
      <t>ト</t>
    </rPh>
    <phoneticPr fontId="2"/>
  </si>
  <si>
    <t>特定事業所加算Ⅱ</t>
    <rPh sb="0" eb="7">
      <t>ト</t>
    </rPh>
    <phoneticPr fontId="2"/>
  </si>
  <si>
    <t>訪問介護R8</t>
  </si>
  <si>
    <t>ケアプランデータ連携システムを利用している</t>
    <phoneticPr fontId="12"/>
  </si>
  <si>
    <t>ケアプランデータ連携システムの利用を誓約</t>
    <rPh sb="18" eb="20">
      <t>セイヤク</t>
    </rPh>
    <phoneticPr fontId="12"/>
  </si>
  <si>
    <t>社会福祉連携推進法人に所属</t>
    <rPh sb="11" eb="13">
      <t>ショゾク</t>
    </rPh>
    <phoneticPr fontId="12"/>
  </si>
  <si>
    <t>11</t>
    <phoneticPr fontId="90"/>
  </si>
  <si>
    <t>その他</t>
    <rPh sb="2" eb="3">
      <t>タ</t>
    </rPh>
    <phoneticPr fontId="12"/>
  </si>
  <si>
    <t>青森県</t>
  </si>
  <si>
    <t>函館市</t>
  </si>
  <si>
    <t>中央区</t>
    <rPh sb="0" eb="3">
      <t>チュウオウク</t>
    </rPh>
    <phoneticPr fontId="3"/>
  </si>
  <si>
    <t>夜間対応型訪問介護</t>
  </si>
  <si>
    <t>夜間対応型訪問介護</t>
    <phoneticPr fontId="12"/>
  </si>
  <si>
    <t>夜間対応型訪問介護Ⅴ</t>
  </si>
  <si>
    <t>サービス提供体制強化加算Ⅰ</t>
    <rPh sb="4" eb="8">
      <t>テイキョウ</t>
    </rPh>
    <rPh sb="8" eb="10">
      <t>キョウカ</t>
    </rPh>
    <rPh sb="10" eb="12">
      <t>カサン</t>
    </rPh>
    <phoneticPr fontId="2"/>
  </si>
  <si>
    <t>サービス提供体制強化加算Ⅱ</t>
    <rPh sb="4" eb="8">
      <t>テイキョウ</t>
    </rPh>
    <rPh sb="8" eb="10">
      <t>キョウカ</t>
    </rPh>
    <rPh sb="10" eb="12">
      <t>カサン</t>
    </rPh>
    <phoneticPr fontId="2"/>
  </si>
  <si>
    <t>夜間対応型訪問介護R8</t>
  </si>
  <si>
    <t>ケアプランデータ連携システムの利用を誓約</t>
  </si>
  <si>
    <t>71</t>
    <phoneticPr fontId="90"/>
  </si>
  <si>
    <t>岩手県</t>
  </si>
  <si>
    <t>小樽市</t>
  </si>
  <si>
    <t>港区</t>
    <rPh sb="0" eb="2">
      <t>ミナトク</t>
    </rPh>
    <phoneticPr fontId="3"/>
  </si>
  <si>
    <t>定期巡回･随時対応型訪問介護看護</t>
  </si>
  <si>
    <t>定期巡回･随時対応型訪問介護看護</t>
    <phoneticPr fontId="12"/>
  </si>
  <si>
    <t>定期巡回・随時対応型訪問介護看護Ⅴ</t>
  </si>
  <si>
    <t>定期巡回・随時対応型訪問介護看護R8</t>
  </si>
  <si>
    <t>76</t>
    <phoneticPr fontId="90"/>
  </si>
  <si>
    <t>宮城県</t>
  </si>
  <si>
    <t>旭川市</t>
  </si>
  <si>
    <t>新宿区</t>
    <rPh sb="0" eb="3">
      <t>シンジュクク</t>
    </rPh>
    <phoneticPr fontId="3"/>
  </si>
  <si>
    <t>訪問入浴介護</t>
    <phoneticPr fontId="12"/>
  </si>
  <si>
    <t>訪問入浴介護Ⅴ</t>
  </si>
  <si>
    <t>訪問入浴介護R8</t>
  </si>
  <si>
    <t>令和８年度特例要件を満たす</t>
    <rPh sb="0" eb="2">
      <t>レイワ</t>
    </rPh>
    <rPh sb="3" eb="5">
      <t>ネンド</t>
    </rPh>
    <rPh sb="5" eb="7">
      <t>トクレイ</t>
    </rPh>
    <rPh sb="7" eb="9">
      <t>ヨウケン</t>
    </rPh>
    <rPh sb="10" eb="11">
      <t>ミ</t>
    </rPh>
    <phoneticPr fontId="12"/>
  </si>
  <si>
    <t>12</t>
    <phoneticPr fontId="90"/>
  </si>
  <si>
    <t>秋田県</t>
  </si>
  <si>
    <t>室蘭市</t>
  </si>
  <si>
    <t>文京区</t>
    <rPh sb="0" eb="3">
      <t>ブンキョウク</t>
    </rPh>
    <phoneticPr fontId="3"/>
  </si>
  <si>
    <t>介護予防訪問入浴介護</t>
    <phoneticPr fontId="12"/>
  </si>
  <si>
    <t>対象外</t>
    <rPh sb="0" eb="2">
      <t>タイショウ</t>
    </rPh>
    <rPh sb="2" eb="3">
      <t>ガイ</t>
    </rPh>
    <phoneticPr fontId="12"/>
  </si>
  <si>
    <t>介護予防訪問入浴介護Ⅴ</t>
  </si>
  <si>
    <t>介護予防訪問入浴介護R8</t>
  </si>
  <si>
    <t>令和８年度特例要件を誓約</t>
    <rPh sb="0" eb="2">
      <t>レイワ</t>
    </rPh>
    <rPh sb="3" eb="5">
      <t>ネンド</t>
    </rPh>
    <rPh sb="5" eb="7">
      <t>トクレイ</t>
    </rPh>
    <rPh sb="7" eb="9">
      <t>ヨウケン</t>
    </rPh>
    <rPh sb="10" eb="12">
      <t>セイヤク</t>
    </rPh>
    <phoneticPr fontId="12"/>
  </si>
  <si>
    <t>62</t>
    <phoneticPr fontId="90"/>
  </si>
  <si>
    <t>介護予防</t>
    <rPh sb="0" eb="2">
      <t>カイゴ</t>
    </rPh>
    <rPh sb="2" eb="4">
      <t>ヨボウ</t>
    </rPh>
    <phoneticPr fontId="12"/>
  </si>
  <si>
    <t>山形県</t>
  </si>
  <si>
    <t>釧路市</t>
  </si>
  <si>
    <t>台東区</t>
    <rPh sb="0" eb="3">
      <t>タイトウク</t>
    </rPh>
    <phoneticPr fontId="3"/>
  </si>
  <si>
    <t>通所介護</t>
  </si>
  <si>
    <t>通所介護Ⅴ</t>
  </si>
  <si>
    <t>通所介護R8</t>
  </si>
  <si>
    <t>15</t>
    <phoneticPr fontId="90"/>
  </si>
  <si>
    <t>福島県</t>
  </si>
  <si>
    <t>帯広市</t>
  </si>
  <si>
    <t>墨田区</t>
    <rPh sb="0" eb="3">
      <t>スミダク</t>
    </rPh>
    <phoneticPr fontId="3"/>
  </si>
  <si>
    <t>地域密着型通所介護</t>
  </si>
  <si>
    <t>地域密着型通所介護Ⅴ</t>
  </si>
  <si>
    <t>サービス提供体制強化加算Ⅲイ又はロ</t>
    <rPh sb="4" eb="8">
      <t>テイキョウ</t>
    </rPh>
    <rPh sb="8" eb="10">
      <t>キョウカ</t>
    </rPh>
    <rPh sb="10" eb="12">
      <t>カサン</t>
    </rPh>
    <rPh sb="14" eb="15">
      <t>マタ</t>
    </rPh>
    <phoneticPr fontId="2"/>
  </si>
  <si>
    <t>地域密着型通所介護R8</t>
  </si>
  <si>
    <t>78</t>
    <phoneticPr fontId="90"/>
  </si>
  <si>
    <t>茨城県</t>
  </si>
  <si>
    <t>北見市</t>
  </si>
  <si>
    <t>江東区</t>
    <rPh sb="0" eb="3">
      <t>コウトウク</t>
    </rPh>
    <phoneticPr fontId="3"/>
  </si>
  <si>
    <t>通所リハビリテーション</t>
    <phoneticPr fontId="12"/>
  </si>
  <si>
    <t>通所リハビリテーションⅤ</t>
  </si>
  <si>
    <t>通所リハビリテーションR8</t>
  </si>
  <si>
    <t>キャリアパス要件Ⅰ・Ⅱ_加算対象</t>
    <rPh sb="6" eb="8">
      <t>ヨウケン</t>
    </rPh>
    <rPh sb="12" eb="14">
      <t>カサン</t>
    </rPh>
    <rPh sb="14" eb="16">
      <t>タイショウ</t>
    </rPh>
    <phoneticPr fontId="12"/>
  </si>
  <si>
    <t>16</t>
    <phoneticPr fontId="90"/>
  </si>
  <si>
    <t>栃木県</t>
  </si>
  <si>
    <t>夕張市</t>
  </si>
  <si>
    <t>品川区</t>
    <rPh sb="0" eb="3">
      <t>シナガワク</t>
    </rPh>
    <phoneticPr fontId="3"/>
  </si>
  <si>
    <t>介護予防通所リハビリテーション</t>
    <phoneticPr fontId="12"/>
  </si>
  <si>
    <t>介護予防通所リハビリテーションⅤ</t>
  </si>
  <si>
    <t>介護予防通所リハビリテーションR8</t>
  </si>
  <si>
    <t>66</t>
    <phoneticPr fontId="90"/>
  </si>
  <si>
    <t>群馬県</t>
  </si>
  <si>
    <t>岩見沢市</t>
  </si>
  <si>
    <t>目黒区</t>
    <rPh sb="0" eb="3">
      <t>メグロク</t>
    </rPh>
    <phoneticPr fontId="3"/>
  </si>
  <si>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90"/>
  </si>
  <si>
    <t>特定施設入居者生活介護</t>
    <phoneticPr fontId="12"/>
  </si>
  <si>
    <t>特定施設入居者生活介護Ⅴ</t>
  </si>
  <si>
    <t>入居継続支援加算Ⅰ又はⅡ</t>
    <rPh sb="0" eb="2">
      <t>ニュウキョ</t>
    </rPh>
    <rPh sb="2" eb="6">
      <t>ケイゾクシエン</t>
    </rPh>
    <rPh sb="6" eb="8">
      <t>カサン</t>
    </rPh>
    <rPh sb="9" eb="10">
      <t>マタ</t>
    </rPh>
    <phoneticPr fontId="2"/>
  </si>
  <si>
    <t>特定施設入居者生活介護R8</t>
  </si>
  <si>
    <t>生産性向上推進体制加算Ⅰ又はⅡを算定済</t>
    <phoneticPr fontId="12"/>
  </si>
  <si>
    <t>生産性向上推進体制加算Ⅰ又はⅡの算定を誓約</t>
    <rPh sb="16" eb="18">
      <t>サンテイ</t>
    </rPh>
    <rPh sb="19" eb="21">
      <t>セイヤク</t>
    </rPh>
    <phoneticPr fontId="12"/>
  </si>
  <si>
    <t>33</t>
    <phoneticPr fontId="90"/>
  </si>
  <si>
    <t>埼玉県</t>
  </si>
  <si>
    <t>網走市</t>
  </si>
  <si>
    <t>大田区</t>
    <rPh sb="0" eb="3">
      <t>オオタク</t>
    </rPh>
    <phoneticPr fontId="3"/>
  </si>
  <si>
    <t>特定施設入居者生活介護（短期利用型）</t>
    <phoneticPr fontId="12"/>
  </si>
  <si>
    <t>特定施設入居者生活介護_短期利用型_Ⅴ</t>
  </si>
  <si>
    <t>特定施設入居者生活介護（短期利用型）</t>
    <rPh sb="12" eb="14">
      <t>タンキ</t>
    </rPh>
    <rPh sb="14" eb="16">
      <t>リヨウ</t>
    </rPh>
    <rPh sb="16" eb="17">
      <t>ガタ</t>
    </rPh>
    <phoneticPr fontId="12"/>
  </si>
  <si>
    <t>特定施設入居者生活介護_短期利用型_R8</t>
  </si>
  <si>
    <t>27</t>
    <phoneticPr fontId="90"/>
  </si>
  <si>
    <t>短期利用型</t>
    <rPh sb="0" eb="5">
      <t>タンキリヨウガタ</t>
    </rPh>
    <phoneticPr fontId="12"/>
  </si>
  <si>
    <t>千葉県</t>
  </si>
  <si>
    <t>留萌市</t>
  </si>
  <si>
    <t>世田谷区</t>
    <rPh sb="0" eb="4">
      <t>セタガヤク</t>
    </rPh>
    <phoneticPr fontId="3"/>
  </si>
  <si>
    <t>介護予防特定施設入居者生活介護</t>
    <phoneticPr fontId="12"/>
  </si>
  <si>
    <t>介護予防特定施設入居者生活介護Ⅴ</t>
  </si>
  <si>
    <t>介護予防特定施設入居者生活介護R8</t>
  </si>
  <si>
    <t>35</t>
    <phoneticPr fontId="90"/>
  </si>
  <si>
    <t>東京都</t>
  </si>
  <si>
    <t>苫小牧市</t>
  </si>
  <si>
    <t>渋谷区</t>
    <rPh sb="0" eb="3">
      <t>シブヤク</t>
    </rPh>
    <phoneticPr fontId="3"/>
  </si>
  <si>
    <t>地域密着型特定施設入居者生活介護</t>
    <phoneticPr fontId="12"/>
  </si>
  <si>
    <t>地域密着型特定施設入居者生活介護</t>
  </si>
  <si>
    <t>地域密着型特定施設入居者生活介護R8</t>
  </si>
  <si>
    <t>生産性向上推進体制加算Ⅰ又はⅡを算定済</t>
  </si>
  <si>
    <t>生産性向上推進体制加算Ⅰ又はⅡの算定を誓約</t>
    <phoneticPr fontId="12"/>
  </si>
  <si>
    <t>キャリアパス要件Ⅰ・Ⅱ_加算対象外</t>
    <rPh sb="12" eb="14">
      <t>カサン</t>
    </rPh>
    <rPh sb="14" eb="17">
      <t>タイショウガイ</t>
    </rPh>
    <phoneticPr fontId="12"/>
  </si>
  <si>
    <t>36</t>
    <phoneticPr fontId="90"/>
  </si>
  <si>
    <t>神奈川県</t>
  </si>
  <si>
    <t>稚内市</t>
  </si>
  <si>
    <t>中野区</t>
    <rPh sb="0" eb="3">
      <t>ナカノク</t>
    </rPh>
    <phoneticPr fontId="3"/>
  </si>
  <si>
    <t>地域密着型特定施設入居者生活介護（短期利用型）</t>
    <phoneticPr fontId="12"/>
  </si>
  <si>
    <t>地域密着型特定施設入居者生活介護（短期利用型）</t>
    <rPh sb="17" eb="22">
      <t>タンキリヨウガタ</t>
    </rPh>
    <phoneticPr fontId="12"/>
  </si>
  <si>
    <t>地域密着型特定施設入居者生活介護_短期利用型_R8</t>
  </si>
  <si>
    <t>28</t>
    <phoneticPr fontId="90"/>
  </si>
  <si>
    <t>新潟県</t>
  </si>
  <si>
    <t>美唄市</t>
  </si>
  <si>
    <t>杉並区</t>
    <rPh sb="0" eb="3">
      <t>スギナミク</t>
    </rPh>
    <phoneticPr fontId="3"/>
  </si>
  <si>
    <t>認知症対応型通所介護</t>
    <phoneticPr fontId="12"/>
  </si>
  <si>
    <t>認知症対応型通所介護Ⅴ</t>
  </si>
  <si>
    <t>認知症対応型通所介護R8</t>
  </si>
  <si>
    <t>72</t>
    <phoneticPr fontId="90"/>
  </si>
  <si>
    <t>富山県</t>
  </si>
  <si>
    <t>芦別市</t>
  </si>
  <si>
    <t>豊島区</t>
    <rPh sb="0" eb="3">
      <t>トシマク</t>
    </rPh>
    <phoneticPr fontId="3"/>
  </si>
  <si>
    <t>介護予防認知症対応型通所介護</t>
    <phoneticPr fontId="12"/>
  </si>
  <si>
    <t>介護予防認知症対応型通所介護Ⅴ</t>
  </si>
  <si>
    <t>介護予防認知症対応型通所介護R8</t>
  </si>
  <si>
    <t>74</t>
    <phoneticPr fontId="90"/>
  </si>
  <si>
    <t>石川県</t>
  </si>
  <si>
    <t>江別市</t>
  </si>
  <si>
    <t>北区</t>
    <rPh sb="0" eb="2">
      <t>キタク</t>
    </rPh>
    <phoneticPr fontId="3"/>
  </si>
  <si>
    <t>小規模多機能型居宅介護</t>
    <phoneticPr fontId="12"/>
  </si>
  <si>
    <t>小規模多機能型居宅介護Ⅴ</t>
  </si>
  <si>
    <t>小規模多機能型居宅介護</t>
  </si>
  <si>
    <t>小規模多機能型居宅介護R8</t>
  </si>
  <si>
    <t>生産性向上推進体制加算Ⅰ又はⅡの算定を誓約</t>
  </si>
  <si>
    <t>73</t>
    <phoneticPr fontId="90"/>
  </si>
  <si>
    <t>福井県</t>
  </si>
  <si>
    <t>赤平市</t>
  </si>
  <si>
    <t>荒川区</t>
    <rPh sb="0" eb="3">
      <t>アラカワク</t>
    </rPh>
    <phoneticPr fontId="3"/>
  </si>
  <si>
    <t>小規模多機能型居宅介護（短期利用型）</t>
    <phoneticPr fontId="12"/>
  </si>
  <si>
    <t>小規模多機能型居宅介護_短期利用型_Ⅴ</t>
  </si>
  <si>
    <t>小規模多機能型居宅介護（短期利用型）</t>
    <rPh sb="12" eb="17">
      <t>タンキリヨウガタ</t>
    </rPh>
    <phoneticPr fontId="12"/>
  </si>
  <si>
    <t>小規模多機能型居宅介護_短期利用型_R8</t>
  </si>
  <si>
    <t>68</t>
    <phoneticPr fontId="90"/>
  </si>
  <si>
    <t>短期利用型</t>
    <rPh sb="0" eb="2">
      <t>タンキ</t>
    </rPh>
    <rPh sb="2" eb="4">
      <t>リヨウ</t>
    </rPh>
    <rPh sb="4" eb="5">
      <t>ガタ</t>
    </rPh>
    <phoneticPr fontId="12"/>
  </si>
  <si>
    <t>山梨県</t>
  </si>
  <si>
    <t>紋別市</t>
  </si>
  <si>
    <t>板橋区</t>
    <rPh sb="0" eb="3">
      <t>イタバシク</t>
    </rPh>
    <phoneticPr fontId="3"/>
  </si>
  <si>
    <t>介護予防小規模多機能型居宅介護</t>
    <phoneticPr fontId="12"/>
  </si>
  <si>
    <t>介護予防小規模多機能型居宅介護Ⅴ</t>
  </si>
  <si>
    <t>介護予防小規模多機能型居宅介護R8</t>
  </si>
  <si>
    <t>キャリアパス要件Ⅳ</t>
    <rPh sb="6" eb="8">
      <t>ヨウケン</t>
    </rPh>
    <phoneticPr fontId="12"/>
  </si>
  <si>
    <t>75</t>
    <phoneticPr fontId="90"/>
  </si>
  <si>
    <t>長野県</t>
  </si>
  <si>
    <t>士別市</t>
  </si>
  <si>
    <t>練馬区</t>
    <rPh sb="0" eb="3">
      <t>ネリマク</t>
    </rPh>
    <phoneticPr fontId="3"/>
  </si>
  <si>
    <t>介護予防小規模多機能型居宅介護（短期利用型）</t>
    <rPh sb="16" eb="21">
      <t>タンキリヨウガタ</t>
    </rPh>
    <phoneticPr fontId="12"/>
  </si>
  <si>
    <t>介護予防小規模多機能型居宅介護（短期利用型）</t>
    <phoneticPr fontId="12"/>
  </si>
  <si>
    <t>介護予防小規模多機能型居宅介護_短期利用型_Ⅴ</t>
  </si>
  <si>
    <t>介護予防小規模多機能型居宅介護_短期利用型_R8</t>
  </si>
  <si>
    <t>69</t>
    <phoneticPr fontId="90"/>
  </si>
  <si>
    <t>介護予防・短期利用型</t>
    <rPh sb="0" eb="2">
      <t>カイゴ</t>
    </rPh>
    <rPh sb="2" eb="4">
      <t>ヨボウ</t>
    </rPh>
    <rPh sb="5" eb="7">
      <t>タンキ</t>
    </rPh>
    <rPh sb="7" eb="9">
      <t>リヨウ</t>
    </rPh>
    <rPh sb="9" eb="10">
      <t>ガタ</t>
    </rPh>
    <phoneticPr fontId="12"/>
  </si>
  <si>
    <t>岐阜県</t>
  </si>
  <si>
    <t>名寄市</t>
  </si>
  <si>
    <t>足立区</t>
    <rPh sb="0" eb="3">
      <t>アダチク</t>
    </rPh>
    <phoneticPr fontId="3"/>
  </si>
  <si>
    <t>看護小規模多機能型居宅介護</t>
  </si>
  <si>
    <t>複合型サービス_看護小規模多機能型居宅介護_Ⅴ</t>
  </si>
  <si>
    <t>複合型サービス_看護小規模多機能型居宅介護_R8</t>
  </si>
  <si>
    <t>77</t>
    <phoneticPr fontId="90"/>
  </si>
  <si>
    <t>静岡県</t>
  </si>
  <si>
    <t>三笠市</t>
  </si>
  <si>
    <t>葛飾区</t>
    <rPh sb="0" eb="3">
      <t>カツシカク</t>
    </rPh>
    <phoneticPr fontId="3"/>
  </si>
  <si>
    <t>看護小規模多機能型居宅介護（短期利用型）</t>
    <rPh sb="14" eb="19">
      <t>タンキリヨウガタ</t>
    </rPh>
    <phoneticPr fontId="12"/>
  </si>
  <si>
    <t>複合型サービス_看護小規模多機能型居宅介護・短期利用型_Ⅴ</t>
  </si>
  <si>
    <t>複合型サービス_看護小規模多機能型居宅介護・短期利用型_R8</t>
  </si>
  <si>
    <t>その他（小規模等により適用除外）</t>
    <rPh sb="2" eb="3">
      <t>タ</t>
    </rPh>
    <rPh sb="4" eb="7">
      <t>ショウキボ</t>
    </rPh>
    <rPh sb="7" eb="8">
      <t>トウ</t>
    </rPh>
    <rPh sb="11" eb="13">
      <t>テキヨウ</t>
    </rPh>
    <rPh sb="13" eb="15">
      <t>ジョガイ</t>
    </rPh>
    <phoneticPr fontId="12"/>
  </si>
  <si>
    <t>79</t>
    <phoneticPr fontId="90"/>
  </si>
  <si>
    <t>愛知県</t>
  </si>
  <si>
    <t>根室市</t>
  </si>
  <si>
    <t>江戸川区</t>
    <rPh sb="0" eb="4">
      <t>エドガワク</t>
    </rPh>
    <phoneticPr fontId="3"/>
  </si>
  <si>
    <t>認知症対応型共同生活介護</t>
    <phoneticPr fontId="12"/>
  </si>
  <si>
    <t>認知症対応型共同生活介護Ⅴ</t>
  </si>
  <si>
    <t>認知症対応型共同生活介護</t>
  </si>
  <si>
    <t>認知症対応型共同生活介護R8</t>
  </si>
  <si>
    <t>32</t>
    <phoneticPr fontId="90"/>
  </si>
  <si>
    <t>三重県</t>
  </si>
  <si>
    <t>千歳市</t>
  </si>
  <si>
    <t>2級地</t>
    <rPh sb="1" eb="3">
      <t>キュウチ</t>
    </rPh>
    <phoneticPr fontId="57"/>
  </si>
  <si>
    <t>調布市</t>
  </si>
  <si>
    <t>認知症対応型共同生活介護（短期利用型）</t>
    <phoneticPr fontId="12"/>
  </si>
  <si>
    <t>認知症対応型共同生活介護_短期利用型_Ⅴ</t>
  </si>
  <si>
    <t>認知症対応型共同生活介護_短期利用型_R8</t>
  </si>
  <si>
    <t>38</t>
    <phoneticPr fontId="90"/>
  </si>
  <si>
    <t>滋賀県</t>
  </si>
  <si>
    <t>滝川市</t>
  </si>
  <si>
    <t>町田市</t>
    <rPh sb="0" eb="3">
      <t>マチダシ</t>
    </rPh>
    <phoneticPr fontId="3"/>
  </si>
  <si>
    <t>介護予防認知症対応型共同生活介護</t>
    <rPh sb="0" eb="2">
      <t>カイゴ</t>
    </rPh>
    <rPh sb="2" eb="4">
      <t>ヨボウ</t>
    </rPh>
    <phoneticPr fontId="12"/>
  </si>
  <si>
    <t>介護予防認知症対応型共同生活介護</t>
    <phoneticPr fontId="12"/>
  </si>
  <si>
    <t>介護予防認知症対応型共同生活介護Ⅴ</t>
  </si>
  <si>
    <t>介護予防認知症対応型共同生活介護</t>
  </si>
  <si>
    <t>介護予防認知症対応型共同生活介護R8</t>
  </si>
  <si>
    <t>37</t>
    <phoneticPr fontId="90"/>
  </si>
  <si>
    <t>京都府</t>
  </si>
  <si>
    <t>砂川市</t>
  </si>
  <si>
    <t>狛江市</t>
    <rPh sb="0" eb="3">
      <t>コマエシ</t>
    </rPh>
    <phoneticPr fontId="3"/>
  </si>
  <si>
    <t>介護予防認知症対応型共同生活介護（短期利用型）</t>
    <rPh sb="0" eb="2">
      <t>カイゴ</t>
    </rPh>
    <rPh sb="2" eb="4">
      <t>ヨボウ</t>
    </rPh>
    <phoneticPr fontId="12"/>
  </si>
  <si>
    <t>介護予防認知症対応型共同生活介護（短期利用型）</t>
    <phoneticPr fontId="12"/>
  </si>
  <si>
    <t>対象外</t>
    <rPh sb="0" eb="3">
      <t>タイショウガイ</t>
    </rPh>
    <phoneticPr fontId="12"/>
  </si>
  <si>
    <t>介護予防認知症対応型共同生活介護_短期利用型_Ⅴ</t>
  </si>
  <si>
    <t>介護予防認知症対応型共同生活介護_短期利用型_R8</t>
  </si>
  <si>
    <t>39</t>
    <phoneticPr fontId="90"/>
  </si>
  <si>
    <t>大阪府</t>
  </si>
  <si>
    <t>歌志内市</t>
  </si>
  <si>
    <t>多摩市</t>
    <rPh sb="0" eb="3">
      <t>タマシ</t>
    </rPh>
    <phoneticPr fontId="3"/>
  </si>
  <si>
    <t>介護老人福祉施設</t>
    <phoneticPr fontId="12"/>
  </si>
  <si>
    <t>介護老人福祉施設</t>
    <rPh sb="0" eb="2">
      <t>カイゴ</t>
    </rPh>
    <rPh sb="2" eb="4">
      <t>ロウジン</t>
    </rPh>
    <rPh sb="4" eb="6">
      <t>フクシ</t>
    </rPh>
    <rPh sb="6" eb="8">
      <t>シセツ</t>
    </rPh>
    <phoneticPr fontId="90"/>
  </si>
  <si>
    <t>介護老人福祉施設サービスⅤ</t>
  </si>
  <si>
    <t>日常生活継続支援加算Ⅰ又はⅡ</t>
    <rPh sb="0" eb="10">
      <t>ニチジョウセイカツ</t>
    </rPh>
    <rPh sb="11" eb="12">
      <t>マタ</t>
    </rPh>
    <phoneticPr fontId="2"/>
  </si>
  <si>
    <t>介護老人福祉施設</t>
  </si>
  <si>
    <t>介護老人福祉施設サービスR8</t>
  </si>
  <si>
    <t>51</t>
    <phoneticPr fontId="90"/>
  </si>
  <si>
    <t>兵庫県</t>
  </si>
  <si>
    <t>深川市</t>
  </si>
  <si>
    <t>神奈川県</t>
    <rPh sb="0" eb="4">
      <t>カナガワケン</t>
    </rPh>
    <phoneticPr fontId="12"/>
  </si>
  <si>
    <t>横浜市</t>
    <rPh sb="0" eb="3">
      <t>ヨコハマシ</t>
    </rPh>
    <phoneticPr fontId="3"/>
  </si>
  <si>
    <t>地域密着型介護老人福祉施設</t>
  </si>
  <si>
    <t>地域密着型介護老人福祉施設Ⅴ</t>
  </si>
  <si>
    <t>地域密着型介護老人福祉施設R8</t>
  </si>
  <si>
    <t>54</t>
    <phoneticPr fontId="90"/>
  </si>
  <si>
    <t>奈良県</t>
  </si>
  <si>
    <t>富良野市</t>
  </si>
  <si>
    <t>川崎市</t>
    <rPh sb="0" eb="3">
      <t>カワサキシ</t>
    </rPh>
    <phoneticPr fontId="3"/>
  </si>
  <si>
    <t>短期入所生活介護</t>
    <phoneticPr fontId="12"/>
  </si>
  <si>
    <t>短期入所生活介護Ⅴ</t>
  </si>
  <si>
    <t>併設本体施設において処遇改善加算Ⅰの届出あり</t>
  </si>
  <si>
    <t>短期入所生活介護</t>
  </si>
  <si>
    <t>短期入所生活介護R8</t>
  </si>
  <si>
    <t>21</t>
    <phoneticPr fontId="90"/>
  </si>
  <si>
    <t>和歌山県</t>
  </si>
  <si>
    <t>登別市</t>
  </si>
  <si>
    <t>大阪府</t>
    <rPh sb="0" eb="3">
      <t>オオサカフ</t>
    </rPh>
    <phoneticPr fontId="12"/>
  </si>
  <si>
    <t>大阪市</t>
    <rPh sb="0" eb="3">
      <t>オオサカシ</t>
    </rPh>
    <phoneticPr fontId="3"/>
  </si>
  <si>
    <t>介護予防短期入所生活介護</t>
    <phoneticPr fontId="12"/>
  </si>
  <si>
    <t>介護予防短期入所生活介護Ⅴ</t>
  </si>
  <si>
    <t>介護予防短期入所生活介護</t>
  </si>
  <si>
    <t>介護予防短期入所生活介護R8</t>
  </si>
  <si>
    <t>24</t>
    <phoneticPr fontId="90"/>
  </si>
  <si>
    <t>鳥取県</t>
  </si>
  <si>
    <t>恵庭市</t>
  </si>
  <si>
    <t>3級地</t>
    <rPh sb="1" eb="3">
      <t>キュウチ</t>
    </rPh>
    <phoneticPr fontId="57"/>
  </si>
  <si>
    <t>埼玉県</t>
    <rPh sb="0" eb="3">
      <t>サイタマケン</t>
    </rPh>
    <phoneticPr fontId="12"/>
  </si>
  <si>
    <t>さいたま市</t>
  </si>
  <si>
    <t>介護老人保健施設</t>
    <phoneticPr fontId="12"/>
  </si>
  <si>
    <t>介護老人保健施設サービスⅤ</t>
  </si>
  <si>
    <t>介護老人保健施設</t>
  </si>
  <si>
    <t>介護老人保健施設サービスR8</t>
  </si>
  <si>
    <t>52</t>
    <phoneticPr fontId="90"/>
  </si>
  <si>
    <t>島根県</t>
  </si>
  <si>
    <t>伊達市</t>
  </si>
  <si>
    <t>千葉県</t>
    <rPh sb="0" eb="3">
      <t>チバケン</t>
    </rPh>
    <phoneticPr fontId="12"/>
  </si>
  <si>
    <t>千葉市</t>
  </si>
  <si>
    <t>短期入所療養介護（老健）</t>
    <phoneticPr fontId="12"/>
  </si>
  <si>
    <t>短期入所療養介護_介護老人保健施設_Ⅴ</t>
  </si>
  <si>
    <t>併設本体施設において処遇改善加算Ⅰの届出あり</t>
    <rPh sb="2" eb="4">
      <t>ホンタイ</t>
    </rPh>
    <rPh sb="4" eb="6">
      <t>シセツ</t>
    </rPh>
    <rPh sb="18" eb="20">
      <t>トドケデ</t>
    </rPh>
    <phoneticPr fontId="12"/>
  </si>
  <si>
    <t>短期入所療養介護（老健）</t>
  </si>
  <si>
    <t>短期入所療養介護_介護老人保健施設_R8</t>
  </si>
  <si>
    <t>22</t>
    <phoneticPr fontId="90"/>
  </si>
  <si>
    <t>岡山県</t>
  </si>
  <si>
    <t>北広島市</t>
  </si>
  <si>
    <t>浦安市</t>
  </si>
  <si>
    <t>介護予防短期入所療養介護（老健）</t>
    <phoneticPr fontId="12"/>
  </si>
  <si>
    <t>介護予防短期入所療養介護（老健）</t>
  </si>
  <si>
    <t>介護予防短期入所療養介護_介護老人保健施設_R8</t>
  </si>
  <si>
    <t>25</t>
    <phoneticPr fontId="90"/>
  </si>
  <si>
    <t>広島県</t>
  </si>
  <si>
    <t>石狩市</t>
  </si>
  <si>
    <t>八王子市</t>
  </si>
  <si>
    <t>短期入所療養介護 （病院等)</t>
    <phoneticPr fontId="12"/>
  </si>
  <si>
    <t>23</t>
    <phoneticPr fontId="90"/>
  </si>
  <si>
    <t>山口県</t>
  </si>
  <si>
    <t>北斗市</t>
  </si>
  <si>
    <t>武蔵野市</t>
  </si>
  <si>
    <t>介護予防短期入所療養介護 （病院等)</t>
    <phoneticPr fontId="12"/>
  </si>
  <si>
    <t>26</t>
    <phoneticPr fontId="90"/>
  </si>
  <si>
    <t>徳島県</t>
  </si>
  <si>
    <t>当別町</t>
  </si>
  <si>
    <t>三鷹市</t>
  </si>
  <si>
    <t>介護医療院</t>
    <rPh sb="2" eb="4">
      <t>イリョウ</t>
    </rPh>
    <rPh sb="4" eb="5">
      <t>イン</t>
    </rPh>
    <phoneticPr fontId="12"/>
  </si>
  <si>
    <t>介護医療院サービスⅤ</t>
  </si>
  <si>
    <t>介護医療院</t>
  </si>
  <si>
    <t>介護医療院サービスR8</t>
  </si>
  <si>
    <t>55</t>
    <phoneticPr fontId="90"/>
  </si>
  <si>
    <t>香川県</t>
  </si>
  <si>
    <t>新篠津村</t>
  </si>
  <si>
    <t>青梅市</t>
  </si>
  <si>
    <t>短期入所療養介護 （医療院)</t>
    <rPh sb="10" eb="12">
      <t>イリョウ</t>
    </rPh>
    <rPh sb="12" eb="13">
      <t>イン</t>
    </rPh>
    <phoneticPr fontId="12"/>
  </si>
  <si>
    <t>短期入所療養介護_介護医療院_Ⅴ</t>
  </si>
  <si>
    <t>2A</t>
    <phoneticPr fontId="90"/>
  </si>
  <si>
    <t>愛媛県</t>
  </si>
  <si>
    <t>松前町</t>
  </si>
  <si>
    <t>府中市</t>
    <phoneticPr fontId="12"/>
  </si>
  <si>
    <t>介護予防短期入所療養介護 （医療院)</t>
    <rPh sb="14" eb="16">
      <t>イリョウ</t>
    </rPh>
    <rPh sb="16" eb="17">
      <t>イン</t>
    </rPh>
    <phoneticPr fontId="12"/>
  </si>
  <si>
    <t>介護予防短期入所療養介護_介護医療院_Ⅴ</t>
  </si>
  <si>
    <t>介護予防短期入所療養介護_介護医療院_R8</t>
  </si>
  <si>
    <t>2B</t>
    <phoneticPr fontId="90"/>
  </si>
  <si>
    <t>高知県</t>
  </si>
  <si>
    <t>福島町</t>
  </si>
  <si>
    <t>小金井市</t>
  </si>
  <si>
    <t>訪問型サービス（独自）</t>
    <rPh sb="0" eb="2">
      <t>ホウモン</t>
    </rPh>
    <rPh sb="2" eb="3">
      <t>ガタ</t>
    </rPh>
    <rPh sb="8" eb="10">
      <t>ドクジ</t>
    </rPh>
    <phoneticPr fontId="90"/>
  </si>
  <si>
    <t>訪問型サービス_独自_Ⅴ</t>
  </si>
  <si>
    <t>併設本体事業所において処遇改善加算Ⅰの届出あり</t>
    <rPh sb="4" eb="6">
      <t>ジギョウ</t>
    </rPh>
    <rPh sb="6" eb="7">
      <t>ショ</t>
    </rPh>
    <phoneticPr fontId="117"/>
  </si>
  <si>
    <t>特定事業所加算Ⅰ又はⅡに準じる市町村独自の加算</t>
  </si>
  <si>
    <t>訪問型サービス_独自_R8</t>
  </si>
  <si>
    <t>A2</t>
    <phoneticPr fontId="90"/>
  </si>
  <si>
    <t>総合事業</t>
    <rPh sb="0" eb="2">
      <t>ソウゴウ</t>
    </rPh>
    <rPh sb="2" eb="4">
      <t>ジギョウ</t>
    </rPh>
    <phoneticPr fontId="12"/>
  </si>
  <si>
    <t>福岡県</t>
  </si>
  <si>
    <t>知内町</t>
  </si>
  <si>
    <t>小平市</t>
  </si>
  <si>
    <t>訪問型サービス（独自／定率）</t>
    <rPh sb="0" eb="2">
      <t>ホウモン</t>
    </rPh>
    <rPh sb="2" eb="3">
      <t>ガタ</t>
    </rPh>
    <rPh sb="8" eb="10">
      <t>ドクジ</t>
    </rPh>
    <rPh sb="11" eb="13">
      <t>テイリツ</t>
    </rPh>
    <phoneticPr fontId="90"/>
  </si>
  <si>
    <t>A3</t>
    <phoneticPr fontId="90"/>
  </si>
  <si>
    <t>佐賀県</t>
  </si>
  <si>
    <t>木古内町</t>
  </si>
  <si>
    <t>日野市</t>
  </si>
  <si>
    <t>訪問型サービス（独自／定額）</t>
    <rPh sb="0" eb="2">
      <t>ホウモン</t>
    </rPh>
    <rPh sb="2" eb="3">
      <t>ガタ</t>
    </rPh>
    <rPh sb="8" eb="10">
      <t>ドクジ</t>
    </rPh>
    <rPh sb="11" eb="13">
      <t>テイガク</t>
    </rPh>
    <phoneticPr fontId="90"/>
  </si>
  <si>
    <t>A4</t>
    <phoneticPr fontId="90"/>
  </si>
  <si>
    <t>長崎県</t>
  </si>
  <si>
    <t>七飯町</t>
  </si>
  <si>
    <t>東村山市</t>
    <rPh sb="0" eb="4">
      <t>ヒガシムラヤマシ</t>
    </rPh>
    <phoneticPr fontId="3"/>
  </si>
  <si>
    <t>通所型サービス（独自）（19人以上）</t>
    <rPh sb="0" eb="2">
      <t>ツウショ</t>
    </rPh>
    <rPh sb="2" eb="3">
      <t>ガタ</t>
    </rPh>
    <rPh sb="8" eb="10">
      <t>ドクジ</t>
    </rPh>
    <phoneticPr fontId="90"/>
  </si>
  <si>
    <t>サービス提供体制強化加算Ⅰ</t>
  </si>
  <si>
    <t>サービス提供体制強化加算Ⅱ</t>
  </si>
  <si>
    <t>サービス提供体制強化加算Ⅰ又はⅡに準じる市町村独自の加算</t>
  </si>
  <si>
    <t>A6</t>
    <phoneticPr fontId="90"/>
  </si>
  <si>
    <t>熊本県</t>
  </si>
  <si>
    <t>鹿部町</t>
  </si>
  <si>
    <t>国分寺市</t>
  </si>
  <si>
    <t>通所型サービス（独自／定率）（19人以上）</t>
    <rPh sb="0" eb="2">
      <t>ツウショ</t>
    </rPh>
    <rPh sb="2" eb="3">
      <t>ガタ</t>
    </rPh>
    <rPh sb="8" eb="10">
      <t>ドクジ</t>
    </rPh>
    <rPh sb="11" eb="13">
      <t>テイリツ</t>
    </rPh>
    <rPh sb="17" eb="18">
      <t>ニン</t>
    </rPh>
    <rPh sb="18" eb="20">
      <t>イジョウ</t>
    </rPh>
    <phoneticPr fontId="90"/>
  </si>
  <si>
    <t>A7</t>
    <phoneticPr fontId="90"/>
  </si>
  <si>
    <t>大分県</t>
  </si>
  <si>
    <t>森町</t>
  </si>
  <si>
    <t>国立市</t>
  </si>
  <si>
    <t>通所型サービス（独自／定額）（19人以上）</t>
    <rPh sb="0" eb="2">
      <t>ツウショ</t>
    </rPh>
    <rPh sb="2" eb="3">
      <t>ガタ</t>
    </rPh>
    <rPh sb="8" eb="10">
      <t>ドクジ</t>
    </rPh>
    <rPh sb="11" eb="13">
      <t>テイガク</t>
    </rPh>
    <phoneticPr fontId="90"/>
  </si>
  <si>
    <t>サービス提供体制強化加算Ⅰ又はⅡに準じる市町村独自の加算</t>
    <phoneticPr fontId="12"/>
  </si>
  <si>
    <t>A8</t>
    <phoneticPr fontId="90"/>
  </si>
  <si>
    <t>宮崎県</t>
  </si>
  <si>
    <t>八雲町</t>
  </si>
  <si>
    <t>清瀬市</t>
    <rPh sb="0" eb="3">
      <t>キヨセシ</t>
    </rPh>
    <phoneticPr fontId="3"/>
  </si>
  <si>
    <t>介護予防ケアマネジメント</t>
    <rPh sb="0" eb="2">
      <t>カイゴ</t>
    </rPh>
    <rPh sb="2" eb="4">
      <t>ヨボウ</t>
    </rPh>
    <phoneticPr fontId="12"/>
  </si>
  <si>
    <t>通所型サービス（独自）（19人未満）</t>
    <rPh sb="0" eb="2">
      <t>ツウショ</t>
    </rPh>
    <rPh sb="2" eb="3">
      <t>ガタ</t>
    </rPh>
    <rPh sb="8" eb="10">
      <t>ドクジ</t>
    </rPh>
    <rPh sb="15" eb="17">
      <t>ミマン</t>
    </rPh>
    <phoneticPr fontId="90"/>
  </si>
  <si>
    <t>鹿児島県</t>
  </si>
  <si>
    <t>長万部町</t>
  </si>
  <si>
    <t>東久留米市</t>
  </si>
  <si>
    <t>訪問看護</t>
  </si>
  <si>
    <t>通所型サービス（独自／定率）（19人未満）</t>
    <rPh sb="0" eb="2">
      <t>ツウショ</t>
    </rPh>
    <rPh sb="2" eb="3">
      <t>ガタ</t>
    </rPh>
    <rPh sb="8" eb="10">
      <t>ドクジ</t>
    </rPh>
    <rPh sb="11" eb="13">
      <t>テイリツ</t>
    </rPh>
    <phoneticPr fontId="90"/>
  </si>
  <si>
    <t>沖縄県</t>
  </si>
  <si>
    <t>江差町</t>
  </si>
  <si>
    <t>稲城市</t>
  </si>
  <si>
    <t>介護予防訪問看護</t>
  </si>
  <si>
    <t>通所型サービス（独自／定額）（19人未満）</t>
    <rPh sb="0" eb="2">
      <t>ツウショ</t>
    </rPh>
    <rPh sb="2" eb="3">
      <t>ガタ</t>
    </rPh>
    <rPh sb="8" eb="10">
      <t>ドクジ</t>
    </rPh>
    <rPh sb="11" eb="13">
      <t>テイガク</t>
    </rPh>
    <phoneticPr fontId="90"/>
  </si>
  <si>
    <t>上ノ国町</t>
  </si>
  <si>
    <t>西東京市</t>
  </si>
  <si>
    <t>訪問リハビリテーション</t>
  </si>
  <si>
    <t>AF</t>
    <phoneticPr fontId="12"/>
  </si>
  <si>
    <t>加算対象外</t>
    <rPh sb="0" eb="5">
      <t>カサンタイショウガイ</t>
    </rPh>
    <phoneticPr fontId="12"/>
  </si>
  <si>
    <t>厚沢部町</t>
  </si>
  <si>
    <t>鎌倉市</t>
  </si>
  <si>
    <t>介護予防訪問リハビリテーション</t>
  </si>
  <si>
    <t>注１　地域密着型通所介護のサービス提供体制強化加算Ⅲイ又はロは療養通所介護費を算定する場合のみ</t>
    <rPh sb="0" eb="1">
      <t>チュウ</t>
    </rPh>
    <phoneticPr fontId="2"/>
  </si>
  <si>
    <t>乙部町</t>
  </si>
  <si>
    <t>厚木市</t>
  </si>
  <si>
    <t>居宅介護支援</t>
    <phoneticPr fontId="12"/>
  </si>
  <si>
    <t>注２　訪問型サービス（総合事業）は、対象事業所に併設する指定訪問介護事業所において特定事業所加算Ⅰ若しくはⅡを算定していること又は対象事業所において特定事業所加算Ⅰ若しくはⅡに準じる市町村独自の加算を算定していることを要件とする。</t>
    <rPh sb="0" eb="1">
      <t>チュウ</t>
    </rPh>
    <phoneticPr fontId="2"/>
  </si>
  <si>
    <t>奥尻町</t>
  </si>
  <si>
    <t>愛知県</t>
    <rPh sb="0" eb="3">
      <t>アイチケン</t>
    </rPh>
    <phoneticPr fontId="12"/>
  </si>
  <si>
    <t>名古屋市</t>
  </si>
  <si>
    <t>介護予防支援</t>
    <phoneticPr fontId="12"/>
  </si>
  <si>
    <t>社会福祉連携推進法人に所属</t>
    <phoneticPr fontId="12"/>
  </si>
  <si>
    <t>今金町</t>
  </si>
  <si>
    <t>刈谷市</t>
  </si>
  <si>
    <t>せたな町</t>
  </si>
  <si>
    <t>豊田市</t>
  </si>
  <si>
    <t>島牧村</t>
  </si>
  <si>
    <t>守口市</t>
  </si>
  <si>
    <t>寿都町</t>
  </si>
  <si>
    <t>大東市</t>
  </si>
  <si>
    <t>黒松内町</t>
  </si>
  <si>
    <t>門真市</t>
  </si>
  <si>
    <t>蘭越町</t>
  </si>
  <si>
    <t>兵庫県</t>
    <rPh sb="0" eb="3">
      <t>ヒョウゴケン</t>
    </rPh>
    <phoneticPr fontId="12"/>
  </si>
  <si>
    <t>西宮市</t>
  </si>
  <si>
    <t>ニセコ町</t>
  </si>
  <si>
    <t>芦屋市</t>
  </si>
  <si>
    <t>真狩村</t>
  </si>
  <si>
    <t>宝塚市</t>
  </si>
  <si>
    <t>留寿都村</t>
  </si>
  <si>
    <t>4級地</t>
    <rPh sb="1" eb="3">
      <t>キュウチ</t>
    </rPh>
    <phoneticPr fontId="57"/>
  </si>
  <si>
    <t>牛久市</t>
  </si>
  <si>
    <t>喜茂別町</t>
  </si>
  <si>
    <t>朝霞市</t>
  </si>
  <si>
    <t>京極町</t>
  </si>
  <si>
    <t>志木市</t>
    <rPh sb="0" eb="3">
      <t>シキシ</t>
    </rPh>
    <phoneticPr fontId="1"/>
  </si>
  <si>
    <t>倶知安町</t>
  </si>
  <si>
    <t>和光市</t>
    <rPh sb="0" eb="3">
      <t>ワコウシ</t>
    </rPh>
    <phoneticPr fontId="1"/>
  </si>
  <si>
    <t>共和町</t>
  </si>
  <si>
    <t>船橋市</t>
  </si>
  <si>
    <t>岩内町</t>
  </si>
  <si>
    <t>成田市</t>
  </si>
  <si>
    <t>泊村</t>
  </si>
  <si>
    <t>習志野市</t>
  </si>
  <si>
    <t>神恵内村</t>
  </si>
  <si>
    <t>立川市</t>
  </si>
  <si>
    <t>積丹町</t>
  </si>
  <si>
    <t>昭島市</t>
  </si>
  <si>
    <t>古平町</t>
  </si>
  <si>
    <t>東大和市</t>
  </si>
  <si>
    <t>仁木町</t>
  </si>
  <si>
    <t>相模原市</t>
  </si>
  <si>
    <t>余市町</t>
  </si>
  <si>
    <t>横須賀市</t>
  </si>
  <si>
    <t>赤井川村</t>
  </si>
  <si>
    <t>藤沢市</t>
  </si>
  <si>
    <t>南幌町</t>
  </si>
  <si>
    <t>逗子市</t>
  </si>
  <si>
    <t>奈井江町</t>
  </si>
  <si>
    <t>三浦市</t>
  </si>
  <si>
    <t>上砂川町</t>
  </si>
  <si>
    <t>海老名市</t>
    <rPh sb="0" eb="4">
      <t>エビナシ</t>
    </rPh>
    <phoneticPr fontId="1"/>
  </si>
  <si>
    <t>由仁町</t>
  </si>
  <si>
    <t>豊中市</t>
  </si>
  <si>
    <t>長沼町</t>
  </si>
  <si>
    <t>池田市</t>
  </si>
  <si>
    <t>栗山町</t>
  </si>
  <si>
    <t>吹田市</t>
  </si>
  <si>
    <t>月形町</t>
  </si>
  <si>
    <t>高槻市</t>
  </si>
  <si>
    <t>浦臼町</t>
  </si>
  <si>
    <t>寝屋川市</t>
  </si>
  <si>
    <t>新十津川町</t>
  </si>
  <si>
    <t>箕面市</t>
  </si>
  <si>
    <t>妹背牛町</t>
  </si>
  <si>
    <t>四條畷市</t>
  </si>
  <si>
    <t>秩父別町</t>
  </si>
  <si>
    <t>神戸市</t>
  </si>
  <si>
    <t>雨竜町</t>
  </si>
  <si>
    <t>5級地</t>
    <rPh sb="1" eb="3">
      <t>キュウチ</t>
    </rPh>
    <phoneticPr fontId="57"/>
  </si>
  <si>
    <t>水戸市</t>
  </si>
  <si>
    <t>北竜町</t>
  </si>
  <si>
    <t>日立市</t>
  </si>
  <si>
    <t>沼田町</t>
  </si>
  <si>
    <t>龍ケ崎市</t>
  </si>
  <si>
    <t>鷹栖町</t>
  </si>
  <si>
    <t>取手市</t>
  </si>
  <si>
    <t>東神楽町</t>
  </si>
  <si>
    <t>つくば市</t>
  </si>
  <si>
    <t>当麻町</t>
  </si>
  <si>
    <t>守谷市</t>
  </si>
  <si>
    <t>比布町</t>
  </si>
  <si>
    <t>川口市</t>
  </si>
  <si>
    <t>愛別町</t>
  </si>
  <si>
    <t>草加市</t>
  </si>
  <si>
    <t>上川町</t>
  </si>
  <si>
    <t>戸田市</t>
  </si>
  <si>
    <t>東川町</t>
  </si>
  <si>
    <t>新座市</t>
  </si>
  <si>
    <t>美瑛町</t>
  </si>
  <si>
    <t>八潮市</t>
  </si>
  <si>
    <t>上富良野町</t>
  </si>
  <si>
    <t>ふじみ野市</t>
  </si>
  <si>
    <t>中富良野町</t>
  </si>
  <si>
    <t>市川市</t>
  </si>
  <si>
    <t>南富良野町</t>
  </si>
  <si>
    <t>松戸市</t>
  </si>
  <si>
    <t>占冠村</t>
  </si>
  <si>
    <t>佐倉市</t>
  </si>
  <si>
    <t>和寒町</t>
  </si>
  <si>
    <t>市原市</t>
  </si>
  <si>
    <t>剣淵町</t>
  </si>
  <si>
    <t>千葉県</t>
    <phoneticPr fontId="12"/>
  </si>
  <si>
    <t>八千代市</t>
  </si>
  <si>
    <t>下川町</t>
  </si>
  <si>
    <t>四街道市</t>
  </si>
  <si>
    <t>美深町</t>
  </si>
  <si>
    <t>袖ケ浦市</t>
  </si>
  <si>
    <t>音威子府村</t>
  </si>
  <si>
    <t>印西市</t>
  </si>
  <si>
    <t>中川町</t>
  </si>
  <si>
    <t>栄町</t>
  </si>
  <si>
    <t>幌加内町</t>
  </si>
  <si>
    <t>福生市</t>
    <rPh sb="0" eb="3">
      <t>フッサシ</t>
    </rPh>
    <phoneticPr fontId="1"/>
  </si>
  <si>
    <t>増毛町</t>
  </si>
  <si>
    <t>あきる野市</t>
  </si>
  <si>
    <t>小平町</t>
  </si>
  <si>
    <t>日の出町</t>
  </si>
  <si>
    <t>苫前町</t>
  </si>
  <si>
    <t>平塚市</t>
  </si>
  <si>
    <t>羽幌町</t>
  </si>
  <si>
    <t>小田原市</t>
  </si>
  <si>
    <t>初山別村</t>
  </si>
  <si>
    <t>茅ヶ崎市</t>
  </si>
  <si>
    <t>遠別町</t>
  </si>
  <si>
    <t>大和市</t>
  </si>
  <si>
    <t>天塩町</t>
  </si>
  <si>
    <t>伊勢原市</t>
  </si>
  <si>
    <t>猿払村</t>
  </si>
  <si>
    <t>座間市</t>
  </si>
  <si>
    <t>浜頓別町</t>
  </si>
  <si>
    <t>綾瀬市</t>
  </si>
  <si>
    <t>中頓別町</t>
  </si>
  <si>
    <t>葉山町</t>
  </si>
  <si>
    <t>枝幸町</t>
  </si>
  <si>
    <t>寒川町</t>
  </si>
  <si>
    <t>豊富町</t>
  </si>
  <si>
    <t>愛川町</t>
  </si>
  <si>
    <t>礼文町</t>
  </si>
  <si>
    <t>愛知県</t>
    <rPh sb="0" eb="3">
      <t>アイチケン</t>
    </rPh>
    <phoneticPr fontId="57"/>
  </si>
  <si>
    <t>知立市</t>
  </si>
  <si>
    <t>利尻町</t>
  </si>
  <si>
    <t>豊明市</t>
  </si>
  <si>
    <t>利尻富士町</t>
  </si>
  <si>
    <t>みよし市</t>
    <rPh sb="3" eb="4">
      <t>シ</t>
    </rPh>
    <phoneticPr fontId="1"/>
  </si>
  <si>
    <t>幌延町</t>
  </si>
  <si>
    <t>大津市</t>
  </si>
  <si>
    <t>美幌町</t>
  </si>
  <si>
    <t>草津市</t>
  </si>
  <si>
    <t>津別町</t>
  </si>
  <si>
    <t>栗東市</t>
    <rPh sb="0" eb="3">
      <t>リットウシ</t>
    </rPh>
    <phoneticPr fontId="1"/>
  </si>
  <si>
    <t>斜里町</t>
  </si>
  <si>
    <t>京都市</t>
  </si>
  <si>
    <t>清里町</t>
  </si>
  <si>
    <t>長岡京市</t>
  </si>
  <si>
    <t>小清水町</t>
  </si>
  <si>
    <t>堺市</t>
  </si>
  <si>
    <t>訓子府町</t>
  </si>
  <si>
    <t>枚方市</t>
  </si>
  <si>
    <t>置戸町</t>
  </si>
  <si>
    <t>茨木市</t>
  </si>
  <si>
    <t>佐呂間町</t>
  </si>
  <si>
    <t>八尾市</t>
  </si>
  <si>
    <t>遠軽町</t>
  </si>
  <si>
    <t>松原市</t>
  </si>
  <si>
    <t>湧別町</t>
  </si>
  <si>
    <t>摂津市</t>
  </si>
  <si>
    <t>滝上町</t>
  </si>
  <si>
    <t>高石市</t>
  </si>
  <si>
    <t>興部町</t>
  </si>
  <si>
    <t>東大阪市</t>
  </si>
  <si>
    <t>西興部村</t>
  </si>
  <si>
    <t>交野市</t>
  </si>
  <si>
    <t>雄武町</t>
  </si>
  <si>
    <t>尼崎市</t>
  </si>
  <si>
    <t>大空町</t>
  </si>
  <si>
    <t>伊丹市</t>
  </si>
  <si>
    <t>豊浦町</t>
  </si>
  <si>
    <t>川西市</t>
  </si>
  <si>
    <t>壮瞥町</t>
  </si>
  <si>
    <t>三田市</t>
  </si>
  <si>
    <t>白老町</t>
  </si>
  <si>
    <t>広島市</t>
  </si>
  <si>
    <t>厚真町</t>
  </si>
  <si>
    <t>府中町</t>
  </si>
  <si>
    <t>洞爺湖町</t>
  </si>
  <si>
    <t>福岡市</t>
    <rPh sb="0" eb="3">
      <t>フクオカシ</t>
    </rPh>
    <phoneticPr fontId="1"/>
  </si>
  <si>
    <t>安平町</t>
  </si>
  <si>
    <t>春日市</t>
    <rPh sb="0" eb="3">
      <t>カスガシ</t>
    </rPh>
    <phoneticPr fontId="1"/>
  </si>
  <si>
    <t>むかわ町</t>
  </si>
  <si>
    <t>6級地</t>
    <rPh sb="1" eb="3">
      <t>キュウチ</t>
    </rPh>
    <phoneticPr fontId="57"/>
  </si>
  <si>
    <t>仙台市</t>
  </si>
  <si>
    <t>日高町</t>
  </si>
  <si>
    <t>多賀城市</t>
    <rPh sb="0" eb="4">
      <t>タガジョウシ</t>
    </rPh>
    <phoneticPr fontId="1"/>
  </si>
  <si>
    <t>平取町</t>
  </si>
  <si>
    <t>土浦市</t>
  </si>
  <si>
    <t>新冠町</t>
  </si>
  <si>
    <t>古河市</t>
  </si>
  <si>
    <t>浦河町</t>
  </si>
  <si>
    <t>利根町</t>
  </si>
  <si>
    <t>様似町</t>
  </si>
  <si>
    <t>宇都宮市</t>
  </si>
  <si>
    <t>えりも町</t>
  </si>
  <si>
    <t>野木町</t>
  </si>
  <si>
    <t>新ひだか町</t>
  </si>
  <si>
    <t>高崎市</t>
  </si>
  <si>
    <t>音更町</t>
  </si>
  <si>
    <t>川越市</t>
  </si>
  <si>
    <t>士幌町</t>
  </si>
  <si>
    <t>行田市</t>
  </si>
  <si>
    <t>上士幌町</t>
  </si>
  <si>
    <t>所沢市</t>
  </si>
  <si>
    <t>鹿追町</t>
  </si>
  <si>
    <t>飯能市</t>
    <rPh sb="0" eb="3">
      <t>ハンノウシ</t>
    </rPh>
    <phoneticPr fontId="1"/>
  </si>
  <si>
    <t>新得町</t>
  </si>
  <si>
    <t>加須市</t>
  </si>
  <si>
    <t>清水町</t>
  </si>
  <si>
    <t>東松山市</t>
  </si>
  <si>
    <t>芽室町</t>
  </si>
  <si>
    <t>春日部市</t>
  </si>
  <si>
    <t>中札内村</t>
  </si>
  <si>
    <t>狭山市</t>
  </si>
  <si>
    <t>更別村</t>
  </si>
  <si>
    <t>羽生市</t>
  </si>
  <si>
    <t>大樹町</t>
  </si>
  <si>
    <t>鴻巣市</t>
  </si>
  <si>
    <t>広尾町</t>
  </si>
  <si>
    <t>上尾市</t>
  </si>
  <si>
    <t>幕別町</t>
  </si>
  <si>
    <t>越谷市</t>
  </si>
  <si>
    <t>池田町</t>
  </si>
  <si>
    <t>蕨市</t>
  </si>
  <si>
    <t>豊頃町</t>
  </si>
  <si>
    <t>入間市</t>
  </si>
  <si>
    <t>本別町</t>
  </si>
  <si>
    <t>桶川市</t>
  </si>
  <si>
    <t>足寄町</t>
  </si>
  <si>
    <t>久喜市</t>
  </si>
  <si>
    <t>陸別町</t>
  </si>
  <si>
    <t>北本市</t>
  </si>
  <si>
    <t>浦幌町</t>
  </si>
  <si>
    <t>富士見市</t>
  </si>
  <si>
    <t>釧路町</t>
  </si>
  <si>
    <t>三郷市</t>
  </si>
  <si>
    <t>厚岸町</t>
  </si>
  <si>
    <t>蓮田市</t>
  </si>
  <si>
    <t>浜中町</t>
  </si>
  <si>
    <t>坂戸市</t>
  </si>
  <si>
    <t>標茶町</t>
  </si>
  <si>
    <t>幸手市</t>
  </si>
  <si>
    <t>弟子屈町</t>
  </si>
  <si>
    <t>鶴ヶ島市</t>
  </si>
  <si>
    <t>鶴居村</t>
  </si>
  <si>
    <t>吉川市</t>
  </si>
  <si>
    <t>白糠町</t>
  </si>
  <si>
    <t>白岡市</t>
    <rPh sb="0" eb="2">
      <t>シラオカ</t>
    </rPh>
    <rPh sb="2" eb="3">
      <t>シ</t>
    </rPh>
    <phoneticPr fontId="1"/>
  </si>
  <si>
    <t>別海町</t>
  </si>
  <si>
    <t>伊奈町</t>
  </si>
  <si>
    <t>中標津町</t>
  </si>
  <si>
    <t>三芳町</t>
  </si>
  <si>
    <t>標津町</t>
  </si>
  <si>
    <t>宮代町</t>
  </si>
  <si>
    <t>羅臼町</t>
  </si>
  <si>
    <t>杉戸町</t>
  </si>
  <si>
    <t>色丹村</t>
    <rPh sb="0" eb="3">
      <t>シコタンムラ</t>
    </rPh>
    <phoneticPr fontId="5"/>
  </si>
  <si>
    <t>松伏町</t>
  </si>
  <si>
    <t>泊村</t>
    <rPh sb="0" eb="2">
      <t>トマリムラ</t>
    </rPh>
    <phoneticPr fontId="5"/>
  </si>
  <si>
    <t>木更津市</t>
  </si>
  <si>
    <t>留夜別村</t>
  </si>
  <si>
    <t>野田市</t>
  </si>
  <si>
    <t>留別村</t>
  </si>
  <si>
    <t>茂原市</t>
  </si>
  <si>
    <t>紗那村</t>
  </si>
  <si>
    <t>柏市</t>
  </si>
  <si>
    <t>蘂取村</t>
  </si>
  <si>
    <t>流山市</t>
  </si>
  <si>
    <t>青森市</t>
  </si>
  <si>
    <t>我孫子市</t>
  </si>
  <si>
    <t>弘前市</t>
  </si>
  <si>
    <t>鎌ケ谷市</t>
  </si>
  <si>
    <t>八戸市</t>
  </si>
  <si>
    <t>白井市</t>
  </si>
  <si>
    <t>黒石市</t>
  </si>
  <si>
    <t>酒々井町</t>
  </si>
  <si>
    <t>五所川原市</t>
  </si>
  <si>
    <t>武蔵村山市</t>
  </si>
  <si>
    <t>十和田市</t>
  </si>
  <si>
    <t>羽村市</t>
  </si>
  <si>
    <t>三沢市</t>
  </si>
  <si>
    <t>瑞穂町</t>
    <rPh sb="0" eb="3">
      <t>ミズホマチ</t>
    </rPh>
    <phoneticPr fontId="1"/>
  </si>
  <si>
    <t>むつ市</t>
  </si>
  <si>
    <t>奥多摩町</t>
  </si>
  <si>
    <t>つがる市</t>
  </si>
  <si>
    <t>檜原村</t>
  </si>
  <si>
    <t>平川市</t>
  </si>
  <si>
    <t>秦野市</t>
  </si>
  <si>
    <t>平内町</t>
  </si>
  <si>
    <t>大磯町</t>
  </si>
  <si>
    <t>今別町</t>
  </si>
  <si>
    <t>二宮町</t>
  </si>
  <si>
    <t>蓬田村</t>
  </si>
  <si>
    <t>中井町</t>
    <rPh sb="0" eb="2">
      <t>ナカイ</t>
    </rPh>
    <phoneticPr fontId="1"/>
  </si>
  <si>
    <t>外ヶ浜町</t>
  </si>
  <si>
    <t>清川村</t>
  </si>
  <si>
    <t>鰺ヶ沢町</t>
  </si>
  <si>
    <t>岐阜市</t>
  </si>
  <si>
    <t>深浦町</t>
  </si>
  <si>
    <t>静岡市</t>
  </si>
  <si>
    <t>西目屋村</t>
  </si>
  <si>
    <t>岡崎市</t>
  </si>
  <si>
    <t>藤崎町</t>
  </si>
  <si>
    <t>一宮市</t>
  </si>
  <si>
    <t>大鰐町</t>
  </si>
  <si>
    <t>瀬戸市</t>
    <rPh sb="0" eb="3">
      <t>セトシ</t>
    </rPh>
    <phoneticPr fontId="1"/>
  </si>
  <si>
    <t>田舎館村</t>
  </si>
  <si>
    <t>春日井市</t>
  </si>
  <si>
    <t>板柳町</t>
  </si>
  <si>
    <t>津島市</t>
  </si>
  <si>
    <t>鶴田町</t>
  </si>
  <si>
    <t>碧南市</t>
  </si>
  <si>
    <t>中泊町</t>
  </si>
  <si>
    <t>安城市</t>
  </si>
  <si>
    <t>野辺地町</t>
  </si>
  <si>
    <t>西尾市</t>
  </si>
  <si>
    <t>七戸町</t>
  </si>
  <si>
    <t>犬山市</t>
  </si>
  <si>
    <t>六戸町</t>
  </si>
  <si>
    <t>江南市</t>
  </si>
  <si>
    <t>横浜町</t>
  </si>
  <si>
    <t>稲沢市</t>
  </si>
  <si>
    <t>東北町</t>
  </si>
  <si>
    <t>尾張旭市</t>
  </si>
  <si>
    <t>六ヶ所村</t>
  </si>
  <si>
    <t>岩倉市</t>
  </si>
  <si>
    <t>おいらせ町</t>
  </si>
  <si>
    <t>日進市</t>
  </si>
  <si>
    <t>大間町</t>
  </si>
  <si>
    <t>愛西市</t>
  </si>
  <si>
    <t>東通村</t>
  </si>
  <si>
    <t>清須市</t>
    <rPh sb="0" eb="3">
      <t>キヨスシ</t>
    </rPh>
    <phoneticPr fontId="1"/>
  </si>
  <si>
    <t>風間浦村</t>
  </si>
  <si>
    <t>北名古屋市</t>
  </si>
  <si>
    <t>佐井村</t>
  </si>
  <si>
    <t>弥富市</t>
  </si>
  <si>
    <t>三戸町</t>
  </si>
  <si>
    <t>あま市</t>
  </si>
  <si>
    <t>五戸町</t>
  </si>
  <si>
    <t>長久手市</t>
  </si>
  <si>
    <t>田子町</t>
  </si>
  <si>
    <t>東郷町</t>
  </si>
  <si>
    <t>南部町</t>
  </si>
  <si>
    <t>大治町</t>
  </si>
  <si>
    <t>階上町</t>
  </si>
  <si>
    <t>蟹江町</t>
  </si>
  <si>
    <t>新郷村</t>
  </si>
  <si>
    <t>豊山町</t>
    <rPh sb="0" eb="2">
      <t>トヨヤマ</t>
    </rPh>
    <rPh sb="2" eb="3">
      <t>マチ</t>
    </rPh>
    <phoneticPr fontId="1"/>
  </si>
  <si>
    <t>盛岡市</t>
  </si>
  <si>
    <t>飛島村</t>
    <rPh sb="0" eb="3">
      <t>トビシマムラ</t>
    </rPh>
    <phoneticPr fontId="1"/>
  </si>
  <si>
    <t>宮古市</t>
  </si>
  <si>
    <t>津市</t>
  </si>
  <si>
    <t>大船渡市</t>
  </si>
  <si>
    <t>四日市市</t>
  </si>
  <si>
    <t>花巻市</t>
  </si>
  <si>
    <t>桑名市</t>
  </si>
  <si>
    <t>北上市</t>
  </si>
  <si>
    <t>鈴鹿市</t>
  </si>
  <si>
    <t>久慈市</t>
  </si>
  <si>
    <t>亀山市</t>
  </si>
  <si>
    <t>遠野市</t>
  </si>
  <si>
    <t>彦根市</t>
  </si>
  <si>
    <t>一関市</t>
  </si>
  <si>
    <t>守山市</t>
  </si>
  <si>
    <t>陸前高田市</t>
  </si>
  <si>
    <t>甲賀市</t>
  </si>
  <si>
    <t>釜石市</t>
  </si>
  <si>
    <t>宇治市</t>
  </si>
  <si>
    <t>二戸市</t>
  </si>
  <si>
    <t>亀岡市</t>
  </si>
  <si>
    <t>八幡平市</t>
  </si>
  <si>
    <t>城陽市</t>
  </si>
  <si>
    <t>奥州市</t>
  </si>
  <si>
    <t>向日市</t>
  </si>
  <si>
    <t>滝沢市</t>
    <rPh sb="2" eb="3">
      <t>シ</t>
    </rPh>
    <phoneticPr fontId="5"/>
  </si>
  <si>
    <t>八幡市</t>
  </si>
  <si>
    <t>雫石町</t>
  </si>
  <si>
    <t>京田辺市</t>
  </si>
  <si>
    <t>葛巻町</t>
  </si>
  <si>
    <t>木津川市</t>
  </si>
  <si>
    <t>岩手町</t>
  </si>
  <si>
    <t>大山崎町</t>
  </si>
  <si>
    <t>紫波町</t>
  </si>
  <si>
    <t>精華町</t>
  </si>
  <si>
    <t>矢巾町</t>
  </si>
  <si>
    <t>岸和田市</t>
  </si>
  <si>
    <t>西和賀町</t>
  </si>
  <si>
    <t>泉大津市</t>
  </si>
  <si>
    <t>金ケ崎町</t>
  </si>
  <si>
    <t>貝塚市</t>
  </si>
  <si>
    <t>平泉町</t>
  </si>
  <si>
    <t>泉佐野市</t>
  </si>
  <si>
    <t>住田町</t>
  </si>
  <si>
    <t>富田林市</t>
  </si>
  <si>
    <t>大槌町</t>
  </si>
  <si>
    <t>河内長野市</t>
  </si>
  <si>
    <t>山田町</t>
  </si>
  <si>
    <t>和泉市</t>
  </si>
  <si>
    <t>岩泉町</t>
  </si>
  <si>
    <t>柏原市</t>
  </si>
  <si>
    <t>田野畑村</t>
  </si>
  <si>
    <t>羽曳野市</t>
  </si>
  <si>
    <t>普代村</t>
  </si>
  <si>
    <t>藤井寺市</t>
  </si>
  <si>
    <t>軽米町</t>
  </si>
  <si>
    <t>泉南市</t>
  </si>
  <si>
    <t>野田村</t>
  </si>
  <si>
    <t>大阪狭山市</t>
  </si>
  <si>
    <t>九戸村</t>
  </si>
  <si>
    <t>阪南市</t>
  </si>
  <si>
    <t>洋野町</t>
  </si>
  <si>
    <t>島本町</t>
  </si>
  <si>
    <t>一戸町</t>
  </si>
  <si>
    <t>豊能町</t>
  </si>
  <si>
    <t>能勢町</t>
  </si>
  <si>
    <t>石巻市</t>
  </si>
  <si>
    <t>忠岡町</t>
  </si>
  <si>
    <t>塩竈市</t>
  </si>
  <si>
    <t>熊取町</t>
  </si>
  <si>
    <t>気仙沼市</t>
  </si>
  <si>
    <t>田尻町</t>
  </si>
  <si>
    <t>白石市</t>
  </si>
  <si>
    <t>岬町</t>
  </si>
  <si>
    <t>名取市</t>
  </si>
  <si>
    <t>太子町</t>
    <phoneticPr fontId="12"/>
  </si>
  <si>
    <t>角田市</t>
  </si>
  <si>
    <t>河南町</t>
  </si>
  <si>
    <t>多賀城市</t>
  </si>
  <si>
    <t>千早赤阪村</t>
  </si>
  <si>
    <t>岩沼市</t>
  </si>
  <si>
    <t>明石市</t>
  </si>
  <si>
    <t>登米市</t>
  </si>
  <si>
    <t>猪名川町</t>
  </si>
  <si>
    <t>栗原市</t>
  </si>
  <si>
    <t>奈良市</t>
  </si>
  <si>
    <t>東松島市</t>
  </si>
  <si>
    <t>大和郡山市</t>
  </si>
  <si>
    <t>大崎市</t>
  </si>
  <si>
    <t>生駒市</t>
  </si>
  <si>
    <t>富谷市</t>
    <rPh sb="2" eb="3">
      <t>シ</t>
    </rPh>
    <phoneticPr fontId="5"/>
  </si>
  <si>
    <t>和歌山市</t>
  </si>
  <si>
    <t>蔵王町</t>
  </si>
  <si>
    <t>橋本市</t>
  </si>
  <si>
    <t>七ヶ宿町</t>
  </si>
  <si>
    <t>大野城市</t>
  </si>
  <si>
    <t>大河原町</t>
  </si>
  <si>
    <t>太宰府市</t>
  </si>
  <si>
    <t>村田町</t>
  </si>
  <si>
    <t>福津市</t>
  </si>
  <si>
    <t>柴田町</t>
  </si>
  <si>
    <t>糸島市</t>
  </si>
  <si>
    <t>川崎町</t>
  </si>
  <si>
    <t>那珂川市</t>
    <rPh sb="3" eb="4">
      <t>シ</t>
    </rPh>
    <phoneticPr fontId="1"/>
  </si>
  <si>
    <t>丸森町</t>
  </si>
  <si>
    <t>粕屋町</t>
  </si>
  <si>
    <t>亘理町</t>
  </si>
  <si>
    <t>7級地</t>
    <rPh sb="1" eb="3">
      <t>キュウチ</t>
    </rPh>
    <phoneticPr fontId="57"/>
  </si>
  <si>
    <t>北海道</t>
  </si>
  <si>
    <t>山元町</t>
  </si>
  <si>
    <t>結城市</t>
  </si>
  <si>
    <t>松島町</t>
  </si>
  <si>
    <t>下妻市</t>
  </si>
  <si>
    <t>七ヶ浜町</t>
  </si>
  <si>
    <t>常総市</t>
  </si>
  <si>
    <t>利府町</t>
  </si>
  <si>
    <t>笠間市</t>
  </si>
  <si>
    <t>大和町</t>
  </si>
  <si>
    <t>ひたちなか市</t>
  </si>
  <si>
    <t>大郷町</t>
  </si>
  <si>
    <t>那珂市</t>
  </si>
  <si>
    <t>大衡村</t>
  </si>
  <si>
    <t>筑西市</t>
  </si>
  <si>
    <t>色麻町</t>
  </si>
  <si>
    <t>坂東市</t>
  </si>
  <si>
    <t>加美町</t>
  </si>
  <si>
    <t>稲敷市</t>
  </si>
  <si>
    <t>涌谷町</t>
  </si>
  <si>
    <t>つくばみらい市</t>
  </si>
  <si>
    <t>美里町</t>
  </si>
  <si>
    <t>大洗町</t>
  </si>
  <si>
    <t>女川町</t>
  </si>
  <si>
    <t>阿見町</t>
  </si>
  <si>
    <t>南三陸町</t>
  </si>
  <si>
    <t>河内町</t>
  </si>
  <si>
    <t>秋田市</t>
  </si>
  <si>
    <t>八千代町</t>
  </si>
  <si>
    <t>能代市</t>
  </si>
  <si>
    <t>五霞町</t>
  </si>
  <si>
    <t>横手市</t>
  </si>
  <si>
    <t>境町</t>
  </si>
  <si>
    <t>大館市</t>
  </si>
  <si>
    <t>栃木市</t>
  </si>
  <si>
    <t>男鹿市</t>
  </si>
  <si>
    <t>鹿沼市</t>
  </si>
  <si>
    <t>湯沢市</t>
  </si>
  <si>
    <t>日光市</t>
  </si>
  <si>
    <t>鹿角市</t>
  </si>
  <si>
    <t>小山市</t>
  </si>
  <si>
    <t>由利本荘市</t>
  </si>
  <si>
    <t>真岡市</t>
  </si>
  <si>
    <t>潟上市</t>
  </si>
  <si>
    <t>大田原市</t>
  </si>
  <si>
    <t>大仙市</t>
  </si>
  <si>
    <t>さくら市</t>
  </si>
  <si>
    <t>北秋田市</t>
  </si>
  <si>
    <t>下野市</t>
  </si>
  <si>
    <t>にかほ市</t>
  </si>
  <si>
    <t>壬生町</t>
  </si>
  <si>
    <t>仙北市</t>
  </si>
  <si>
    <t>前橋市</t>
  </si>
  <si>
    <t>小坂町</t>
  </si>
  <si>
    <t>伊勢崎市</t>
  </si>
  <si>
    <t>上小阿仁村</t>
  </si>
  <si>
    <t>太田市</t>
  </si>
  <si>
    <t>藤里町</t>
  </si>
  <si>
    <t>渋川市</t>
  </si>
  <si>
    <t>三種町</t>
  </si>
  <si>
    <t>榛東村</t>
    <rPh sb="0" eb="3">
      <t>シントウムラ</t>
    </rPh>
    <phoneticPr fontId="1"/>
  </si>
  <si>
    <t>八峰町</t>
  </si>
  <si>
    <t>吉岡町</t>
    <rPh sb="0" eb="3">
      <t>ヨシオカチョウ</t>
    </rPh>
    <phoneticPr fontId="1"/>
  </si>
  <si>
    <t>五城目町</t>
  </si>
  <si>
    <t>玉村町</t>
  </si>
  <si>
    <t>八郎潟町</t>
  </si>
  <si>
    <t>熊谷市</t>
  </si>
  <si>
    <t>井川町</t>
  </si>
  <si>
    <t>深谷市</t>
  </si>
  <si>
    <t>大潟村</t>
  </si>
  <si>
    <t>日高市</t>
  </si>
  <si>
    <t>美郷町</t>
  </si>
  <si>
    <t>毛呂山町</t>
  </si>
  <si>
    <t>羽後町</t>
  </si>
  <si>
    <t>越生町</t>
  </si>
  <si>
    <t>東成瀬村</t>
  </si>
  <si>
    <t>滑川町</t>
  </si>
  <si>
    <t>山形市</t>
  </si>
  <si>
    <t>川島町</t>
  </si>
  <si>
    <t>米沢市</t>
  </si>
  <si>
    <t>吉見町</t>
  </si>
  <si>
    <t>鶴岡市</t>
  </si>
  <si>
    <t>鳩山町</t>
  </si>
  <si>
    <t>酒田市</t>
  </si>
  <si>
    <t>寄居町</t>
  </si>
  <si>
    <t>新庄市</t>
  </si>
  <si>
    <t>東金市</t>
  </si>
  <si>
    <t>寒河江市</t>
  </si>
  <si>
    <t>君津市</t>
  </si>
  <si>
    <t>上山市</t>
  </si>
  <si>
    <t>富津市</t>
  </si>
  <si>
    <t>村山市</t>
  </si>
  <si>
    <t>八街市</t>
  </si>
  <si>
    <t>長井市</t>
  </si>
  <si>
    <t>富里市</t>
    <rPh sb="0" eb="3">
      <t>トミサトシ</t>
    </rPh>
    <phoneticPr fontId="1"/>
  </si>
  <si>
    <t>天童市</t>
  </si>
  <si>
    <t>山武市</t>
  </si>
  <si>
    <t>東根市</t>
  </si>
  <si>
    <t>大網白里市</t>
    <rPh sb="4" eb="5">
      <t>シ</t>
    </rPh>
    <phoneticPr fontId="1"/>
  </si>
  <si>
    <t>尾花沢市</t>
  </si>
  <si>
    <t>長柄町</t>
  </si>
  <si>
    <t>南陽市</t>
  </si>
  <si>
    <t>長南町</t>
  </si>
  <si>
    <t>山辺町</t>
  </si>
  <si>
    <t>南足柄市</t>
    <rPh sb="0" eb="3">
      <t>ミナミアシガラ</t>
    </rPh>
    <rPh sb="3" eb="4">
      <t>シ</t>
    </rPh>
    <phoneticPr fontId="1"/>
  </si>
  <si>
    <t>中山町</t>
  </si>
  <si>
    <t>山北町</t>
    <rPh sb="0" eb="3">
      <t>ヤマキタマチ</t>
    </rPh>
    <phoneticPr fontId="1"/>
  </si>
  <si>
    <t>河北町</t>
  </si>
  <si>
    <t>箱根町</t>
  </si>
  <si>
    <t>西川町</t>
  </si>
  <si>
    <t>新潟市</t>
  </si>
  <si>
    <t>朝日町</t>
  </si>
  <si>
    <t>富山市</t>
  </si>
  <si>
    <t>大江町</t>
  </si>
  <si>
    <t>金沢市</t>
  </si>
  <si>
    <t>大石田町</t>
  </si>
  <si>
    <t>内灘町</t>
  </si>
  <si>
    <t>金山町</t>
  </si>
  <si>
    <t>福井市</t>
  </si>
  <si>
    <t>最上町</t>
  </si>
  <si>
    <t>甲府市</t>
  </si>
  <si>
    <t>舟形町</t>
  </si>
  <si>
    <t>南アルプス市</t>
    <rPh sb="0" eb="1">
      <t>ミナミ</t>
    </rPh>
    <rPh sb="5" eb="6">
      <t>シ</t>
    </rPh>
    <phoneticPr fontId="1"/>
  </si>
  <si>
    <t>真室川町</t>
  </si>
  <si>
    <t>南部町</t>
    <rPh sb="0" eb="3">
      <t>ナンブチョウ</t>
    </rPh>
    <phoneticPr fontId="1"/>
  </si>
  <si>
    <t>大蔵村</t>
  </si>
  <si>
    <t>長野市</t>
  </si>
  <si>
    <t>鮭川村</t>
  </si>
  <si>
    <t>松本市</t>
  </si>
  <si>
    <t>戸沢村</t>
  </si>
  <si>
    <t>塩尻市</t>
  </si>
  <si>
    <t>高畠町</t>
  </si>
  <si>
    <t>大垣市</t>
  </si>
  <si>
    <t>川西町</t>
  </si>
  <si>
    <t>多治見市</t>
  </si>
  <si>
    <t>小国町</t>
  </si>
  <si>
    <t>美濃加茂市</t>
    <rPh sb="0" eb="5">
      <t>ミノカモシ</t>
    </rPh>
    <phoneticPr fontId="1"/>
  </si>
  <si>
    <t>白鷹町</t>
  </si>
  <si>
    <t>各務原市</t>
  </si>
  <si>
    <t>飯豊町</t>
  </si>
  <si>
    <t>可児市</t>
  </si>
  <si>
    <t>三川町</t>
  </si>
  <si>
    <t>浜松市</t>
  </si>
  <si>
    <t>庄内町</t>
  </si>
  <si>
    <t>沼津市</t>
  </si>
  <si>
    <t>遊佐町</t>
  </si>
  <si>
    <t>三島市</t>
  </si>
  <si>
    <t>福島市</t>
  </si>
  <si>
    <t>富士宮市</t>
  </si>
  <si>
    <t>会津若松市</t>
  </si>
  <si>
    <t>島田市</t>
  </si>
  <si>
    <t>郡山市</t>
  </si>
  <si>
    <t>富士市</t>
  </si>
  <si>
    <t>いわき市</t>
  </si>
  <si>
    <t>磐田市</t>
  </si>
  <si>
    <t>白河市</t>
  </si>
  <si>
    <t>焼津市</t>
  </si>
  <si>
    <t>須賀川市</t>
  </si>
  <si>
    <t>掛川市</t>
  </si>
  <si>
    <t>喜多方市</t>
  </si>
  <si>
    <t>藤枝市</t>
  </si>
  <si>
    <t>相馬市</t>
  </si>
  <si>
    <t>御殿場市</t>
  </si>
  <si>
    <t>二本松市</t>
  </si>
  <si>
    <t>袋井市</t>
  </si>
  <si>
    <t>田村市</t>
  </si>
  <si>
    <t>裾野市</t>
  </si>
  <si>
    <t>南相馬市</t>
  </si>
  <si>
    <t>函南町</t>
  </si>
  <si>
    <t>清水町</t>
    <phoneticPr fontId="12"/>
  </si>
  <si>
    <t>本宮市</t>
  </si>
  <si>
    <t>長泉町</t>
  </si>
  <si>
    <t>桑折町</t>
  </si>
  <si>
    <t>小山町</t>
  </si>
  <si>
    <t>国見町</t>
  </si>
  <si>
    <t>川根本町</t>
  </si>
  <si>
    <t>川俣町</t>
  </si>
  <si>
    <t>森町</t>
    <phoneticPr fontId="12"/>
  </si>
  <si>
    <t>大玉村</t>
  </si>
  <si>
    <t>豊橋市</t>
  </si>
  <si>
    <t>鏡石町</t>
  </si>
  <si>
    <t>半田市</t>
  </si>
  <si>
    <t>天栄村</t>
  </si>
  <si>
    <t>豊川市</t>
  </si>
  <si>
    <t>下郷町</t>
  </si>
  <si>
    <t>蒲郡市</t>
  </si>
  <si>
    <t>檜枝岐村</t>
  </si>
  <si>
    <t>常滑市</t>
  </si>
  <si>
    <t>只見町</t>
  </si>
  <si>
    <t>小牧市</t>
  </si>
  <si>
    <t>南会津町</t>
  </si>
  <si>
    <t>新城市</t>
  </si>
  <si>
    <t>北塩原村</t>
  </si>
  <si>
    <t>東海市</t>
  </si>
  <si>
    <t>西会津町</t>
  </si>
  <si>
    <t>大府市</t>
  </si>
  <si>
    <t>磐梯町</t>
  </si>
  <si>
    <t>知多市</t>
  </si>
  <si>
    <t>猪苗代町</t>
  </si>
  <si>
    <t>高浜市</t>
  </si>
  <si>
    <t>会津坂下町</t>
  </si>
  <si>
    <t>田原市</t>
  </si>
  <si>
    <t>湯川村</t>
  </si>
  <si>
    <t>大口町</t>
  </si>
  <si>
    <t>柳津町</t>
  </si>
  <si>
    <t>扶桑町</t>
  </si>
  <si>
    <t>三島町</t>
  </si>
  <si>
    <t>阿久比町</t>
  </si>
  <si>
    <t>東浦町</t>
  </si>
  <si>
    <t>昭和村</t>
  </si>
  <si>
    <t>武豊町</t>
    <rPh sb="0" eb="3">
      <t>タケトヨチョウ</t>
    </rPh>
    <phoneticPr fontId="1"/>
  </si>
  <si>
    <t>会津美里町</t>
  </si>
  <si>
    <t>幸田町</t>
  </si>
  <si>
    <t>西郷村</t>
  </si>
  <si>
    <t>設楽町</t>
  </si>
  <si>
    <t>泉崎村</t>
  </si>
  <si>
    <t>東栄町</t>
  </si>
  <si>
    <t>中島村</t>
  </si>
  <si>
    <t>豊根村</t>
  </si>
  <si>
    <t>矢吹町</t>
  </si>
  <si>
    <t>名張市</t>
  </si>
  <si>
    <t>棚倉町</t>
  </si>
  <si>
    <t>いなべ市</t>
  </si>
  <si>
    <t>矢祭町</t>
  </si>
  <si>
    <t>伊賀市</t>
  </si>
  <si>
    <t>塙町</t>
  </si>
  <si>
    <t>木曽岬町</t>
  </si>
  <si>
    <t>鮫川村</t>
  </si>
  <si>
    <t>東員町</t>
  </si>
  <si>
    <t>石川町</t>
  </si>
  <si>
    <t>菰野町</t>
  </si>
  <si>
    <t>玉川村</t>
  </si>
  <si>
    <t>朝日町</t>
    <phoneticPr fontId="12"/>
  </si>
  <si>
    <t>平田村</t>
  </si>
  <si>
    <t>川越町</t>
  </si>
  <si>
    <t>浅川町</t>
  </si>
  <si>
    <t>長浜市</t>
  </si>
  <si>
    <t>古殿町</t>
  </si>
  <si>
    <t>近江八幡市</t>
    <rPh sb="0" eb="5">
      <t>オウミハチマンシ</t>
    </rPh>
    <phoneticPr fontId="1"/>
  </si>
  <si>
    <t>三春町</t>
  </si>
  <si>
    <t>野洲市</t>
  </si>
  <si>
    <t>小野町</t>
  </si>
  <si>
    <t>湖南市</t>
  </si>
  <si>
    <t>広野町</t>
  </si>
  <si>
    <t>高島市</t>
    <rPh sb="0" eb="3">
      <t>タカシマシ</t>
    </rPh>
    <phoneticPr fontId="1"/>
  </si>
  <si>
    <t>楢葉町</t>
  </si>
  <si>
    <t>東近江市</t>
  </si>
  <si>
    <t>富岡町</t>
  </si>
  <si>
    <t>日野町</t>
    <rPh sb="0" eb="3">
      <t>ヒノマチ</t>
    </rPh>
    <phoneticPr fontId="1"/>
  </si>
  <si>
    <t>川内村</t>
  </si>
  <si>
    <t>竜王町</t>
    <rPh sb="0" eb="3">
      <t>リュウオウチョウ</t>
    </rPh>
    <phoneticPr fontId="1"/>
  </si>
  <si>
    <t>大熊町</t>
  </si>
  <si>
    <t>久御山町</t>
  </si>
  <si>
    <t>双葉町</t>
  </si>
  <si>
    <t>姫路市</t>
  </si>
  <si>
    <t>浪江町</t>
  </si>
  <si>
    <t>加古川市</t>
  </si>
  <si>
    <t>葛尾村</t>
  </si>
  <si>
    <t>三木市</t>
  </si>
  <si>
    <t>新地町</t>
  </si>
  <si>
    <t>高砂市</t>
  </si>
  <si>
    <t>飯舘村</t>
  </si>
  <si>
    <t>稲美町</t>
  </si>
  <si>
    <t>播磨町</t>
  </si>
  <si>
    <t>大和高田市</t>
  </si>
  <si>
    <t>天理市</t>
  </si>
  <si>
    <t>橿原市</t>
  </si>
  <si>
    <t>石岡市</t>
  </si>
  <si>
    <t>桜井市</t>
  </si>
  <si>
    <t>御所市</t>
  </si>
  <si>
    <t>香芝市</t>
  </si>
  <si>
    <t>葛城市</t>
  </si>
  <si>
    <t>宇陀市</t>
  </si>
  <si>
    <t>常陸太田市</t>
  </si>
  <si>
    <t>山添村</t>
  </si>
  <si>
    <t>高萩市</t>
  </si>
  <si>
    <t>平群町</t>
  </si>
  <si>
    <t>北茨城市</t>
  </si>
  <si>
    <t>三郷町</t>
  </si>
  <si>
    <t>斑鳩町</t>
  </si>
  <si>
    <t>安堵町</t>
  </si>
  <si>
    <t>川西町</t>
    <phoneticPr fontId="12"/>
  </si>
  <si>
    <t>三宅町</t>
  </si>
  <si>
    <t>田原本町</t>
  </si>
  <si>
    <t>鹿嶋市</t>
  </si>
  <si>
    <t>曽爾村</t>
  </si>
  <si>
    <t>潮来市</t>
  </si>
  <si>
    <t>明日香村</t>
  </si>
  <si>
    <t>上牧町</t>
  </si>
  <si>
    <t>常陸大宮市</t>
  </si>
  <si>
    <t>王寺町</t>
  </si>
  <si>
    <t>広陵町</t>
  </si>
  <si>
    <t>河合町</t>
  </si>
  <si>
    <t>岡山市</t>
  </si>
  <si>
    <t>東広島市</t>
  </si>
  <si>
    <t>かすみがうら市</t>
  </si>
  <si>
    <t>廿日市市</t>
  </si>
  <si>
    <t>桜川市</t>
  </si>
  <si>
    <t>海田町</t>
  </si>
  <si>
    <t>神栖市</t>
  </si>
  <si>
    <t>熊野町</t>
    <rPh sb="0" eb="3">
      <t>クマノチョウ</t>
    </rPh>
    <phoneticPr fontId="1"/>
  </si>
  <si>
    <t>行方市</t>
  </si>
  <si>
    <t>坂町</t>
  </si>
  <si>
    <t>鉾田市</t>
  </si>
  <si>
    <t>周南市</t>
  </si>
  <si>
    <t>徳島市</t>
  </si>
  <si>
    <t>小美玉市</t>
  </si>
  <si>
    <t>高松市</t>
  </si>
  <si>
    <t>茨城町</t>
  </si>
  <si>
    <t>北九州市</t>
  </si>
  <si>
    <t>飯塚市</t>
  </si>
  <si>
    <t>城里町</t>
  </si>
  <si>
    <t>筑紫野市</t>
  </si>
  <si>
    <t>東海村</t>
  </si>
  <si>
    <t>古賀市</t>
  </si>
  <si>
    <t>大子町</t>
  </si>
  <si>
    <t>長崎市</t>
  </si>
  <si>
    <t>美浦村</t>
  </si>
  <si>
    <t>その他</t>
    <rPh sb="2" eb="3">
      <t>ホカ</t>
    </rPh>
    <phoneticPr fontId="57"/>
  </si>
  <si>
    <t>足利市</t>
  </si>
  <si>
    <t>佐野市</t>
  </si>
  <si>
    <t>矢板市</t>
  </si>
  <si>
    <t>那須塩原市</t>
  </si>
  <si>
    <t>那須烏山市</t>
  </si>
  <si>
    <t>上三川町</t>
  </si>
  <si>
    <t>益子町</t>
  </si>
  <si>
    <t>茂木町</t>
  </si>
  <si>
    <t>市貝町</t>
  </si>
  <si>
    <t>芳賀町</t>
  </si>
  <si>
    <t>塩谷町</t>
  </si>
  <si>
    <t>高根沢町</t>
  </si>
  <si>
    <t>那須町</t>
  </si>
  <si>
    <t>那珂川町</t>
  </si>
  <si>
    <t>桐生市</t>
  </si>
  <si>
    <t>沼田市</t>
  </si>
  <si>
    <t>館林市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</si>
  <si>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</si>
  <si>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</si>
  <si>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</si>
  <si>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</si>
  <si>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</si>
  <si>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</si>
  <si>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</si>
  <si>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</si>
  <si>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</si>
  <si>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</si>
  <si>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</si>
  <si>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</si>
  <si>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</si>
  <si>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</si>
  <si>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</si>
  <si>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</si>
  <si>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</si>
  <si>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</si>
  <si>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</si>
  <si>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</si>
  <si>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板倉町</t>
  </si>
  <si>
    <t>明和町</t>
  </si>
  <si>
    <t>千代田町</t>
  </si>
  <si>
    <t>大泉町</t>
  </si>
  <si>
    <t>邑楽町</t>
  </si>
  <si>
    <t>秩父市</t>
  </si>
  <si>
    <t>飯能市</t>
  </si>
  <si>
    <t>本庄市</t>
  </si>
  <si>
    <t>志木市</t>
  </si>
  <si>
    <t>和光市</t>
  </si>
  <si>
    <t>白岡市</t>
    <rPh sb="0" eb="2">
      <t>シラオカ</t>
    </rPh>
    <rPh sb="2" eb="3">
      <t>シ</t>
    </rPh>
    <phoneticPr fontId="5"/>
  </si>
  <si>
    <t>嵐山町</t>
  </si>
  <si>
    <t>小川町</t>
  </si>
  <si>
    <t>ときがわ町</t>
  </si>
  <si>
    <t>横瀬町</t>
  </si>
  <si>
    <t>皆野町</t>
  </si>
  <si>
    <t>長瀞町</t>
  </si>
  <si>
    <t>小鹿野町</t>
  </si>
  <si>
    <t>東秩父村</t>
  </si>
  <si>
    <t>神川町</t>
  </si>
  <si>
    <t>上里町</t>
  </si>
  <si>
    <t>銚子市</t>
  </si>
  <si>
    <t>館山市</t>
  </si>
  <si>
    <t>旭市</t>
  </si>
  <si>
    <t>勝浦市</t>
  </si>
  <si>
    <t>鴨川市</t>
  </si>
  <si>
    <t>富里市</t>
  </si>
  <si>
    <t>南房総市</t>
  </si>
  <si>
    <t>匝瑳市</t>
  </si>
  <si>
    <t>香取市</t>
  </si>
  <si>
    <t>いすみ市</t>
  </si>
  <si>
    <t>大網白里市</t>
    <rPh sb="4" eb="5">
      <t>シ</t>
    </rPh>
    <phoneticPr fontId="5"/>
  </si>
  <si>
    <t>神崎町</t>
  </si>
  <si>
    <t>多古町</t>
  </si>
  <si>
    <t>東庄町</t>
  </si>
  <si>
    <t>九十九里町</t>
  </si>
  <si>
    <t>芝山町</t>
  </si>
  <si>
    <t>横芝光町</t>
  </si>
  <si>
    <t>一宮町</t>
  </si>
  <si>
    <t>睦沢町</t>
  </si>
  <si>
    <t>長生村</t>
  </si>
  <si>
    <t>白子町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</si>
  <si>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</si>
  <si>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</si>
  <si>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</si>
  <si>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</si>
  <si>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</si>
  <si>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</si>
  <si>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</si>
  <si>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</si>
  <si>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</si>
  <si>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</si>
  <si>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</si>
  <si>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</si>
  <si>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</si>
  <si>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</si>
  <si>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</si>
  <si>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</si>
  <si>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</si>
  <si>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</si>
  <si>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</si>
  <si>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</si>
  <si>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</si>
  <si>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</si>
  <si>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</si>
  <si>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</si>
  <si>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</si>
  <si>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</si>
  <si>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府中市</t>
  </si>
  <si>
    <t>町田市</t>
  </si>
  <si>
    <t>東村山市</t>
  </si>
  <si>
    <t>福生市</t>
  </si>
  <si>
    <t>狛江市</t>
  </si>
  <si>
    <t>清瀬市</t>
  </si>
  <si>
    <t>多摩市</t>
  </si>
  <si>
    <t>瑞穂町</t>
  </si>
  <si>
    <t>大島町</t>
  </si>
  <si>
    <t>利島村</t>
  </si>
  <si>
    <t>新島村</t>
  </si>
  <si>
    <t>神津島村</t>
  </si>
  <si>
    <t>三宅村</t>
  </si>
  <si>
    <t>御蔵島村</t>
  </si>
  <si>
    <t>八丈町</t>
  </si>
  <si>
    <t>青ヶ島村</t>
  </si>
  <si>
    <t>小笠原村</t>
  </si>
  <si>
    <t>横浜市</t>
  </si>
  <si>
    <t>川崎市</t>
  </si>
  <si>
    <t>海老名市</t>
  </si>
  <si>
    <t>南足柄市</t>
  </si>
  <si>
    <t>中井町</t>
  </si>
  <si>
    <t>大井町</t>
  </si>
  <si>
    <t>松田町</t>
  </si>
  <si>
    <t>山北町</t>
  </si>
  <si>
    <t>開成町</t>
  </si>
  <si>
    <t>真鶴町</t>
  </si>
  <si>
    <t>湯河原町</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</si>
  <si>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</si>
  <si>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</si>
  <si>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</si>
  <si>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</si>
  <si>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</si>
  <si>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</si>
  <si>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</si>
  <si>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</si>
  <si>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</si>
  <si>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</si>
  <si>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</si>
  <si>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</si>
  <si>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</si>
  <si>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</si>
  <si>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</si>
  <si>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</si>
  <si>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</si>
  <si>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</si>
  <si>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</si>
  <si>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</si>
  <si>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</si>
  <si>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</si>
  <si>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</si>
  <si>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</si>
  <si>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</si>
  <si>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</si>
  <si>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</si>
  <si>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</si>
  <si>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</si>
  <si>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高岡市</t>
  </si>
  <si>
    <t>魚津市</t>
  </si>
  <si>
    <t>氷見市</t>
  </si>
  <si>
    <t>滑川市</t>
  </si>
  <si>
    <t>黒部市</t>
  </si>
  <si>
    <t>砺波市</t>
  </si>
  <si>
    <t>小矢部市</t>
  </si>
  <si>
    <t>南砺市</t>
  </si>
  <si>
    <t>射水市</t>
  </si>
  <si>
    <t>舟橋村</t>
  </si>
  <si>
    <t>上市町</t>
  </si>
  <si>
    <t>立山町</t>
  </si>
  <si>
    <t>入善町</t>
  </si>
  <si>
    <t>七尾市</t>
  </si>
  <si>
    <t>小松市</t>
  </si>
  <si>
    <t>輪島市</t>
  </si>
  <si>
    <t>珠洲市</t>
  </si>
  <si>
    <t>加賀市</t>
  </si>
  <si>
    <t>羽咋市</t>
  </si>
  <si>
    <t>かほく市</t>
  </si>
  <si>
    <t>白山市</t>
  </si>
  <si>
    <t>能美市</t>
  </si>
  <si>
    <t>野々市市</t>
  </si>
  <si>
    <t>川北町</t>
  </si>
  <si>
    <t>津幡町</t>
  </si>
  <si>
    <t>志賀町</t>
  </si>
  <si>
    <t>宝達志水町</t>
  </si>
  <si>
    <t>中能登町</t>
  </si>
  <si>
    <t>穴水町</t>
  </si>
  <si>
    <t>能登町</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</si>
  <si>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</si>
  <si>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</si>
  <si>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</si>
  <si>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</si>
  <si>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</si>
  <si>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</si>
  <si>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</si>
  <si>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</si>
  <si>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</si>
  <si>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</si>
  <si>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</si>
  <si>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</si>
  <si>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</si>
  <si>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</si>
  <si>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</si>
  <si>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</si>
  <si>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</si>
  <si>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</si>
  <si>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</si>
  <si>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</si>
  <si>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</si>
  <si>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</si>
  <si>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</si>
  <si>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</si>
  <si>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</si>
  <si>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</si>
  <si>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</si>
  <si>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</si>
  <si>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</si>
  <si>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</si>
  <si>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</si>
  <si>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</si>
  <si>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</si>
  <si>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</si>
  <si>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</si>
  <si>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</si>
  <si>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</si>
  <si>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</si>
  <si>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</si>
  <si>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</si>
  <si>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上田市</t>
  </si>
  <si>
    <t>岡谷市</t>
  </si>
  <si>
    <t>飯田市</t>
  </si>
  <si>
    <t>諏訪市</t>
  </si>
  <si>
    <t>須坂市</t>
  </si>
  <si>
    <t>小諸市</t>
  </si>
  <si>
    <t>伊那市</t>
  </si>
  <si>
    <t>駒ヶ根市</t>
  </si>
  <si>
    <t>中野市</t>
  </si>
  <si>
    <t>大町市</t>
  </si>
  <si>
    <t>飯山市</t>
  </si>
  <si>
    <t>茅野市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</si>
  <si>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</si>
  <si>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</si>
  <si>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</si>
  <si>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</si>
  <si>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</si>
  <si>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</si>
  <si>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</si>
  <si>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</si>
  <si>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</si>
  <si>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</si>
  <si>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</si>
  <si>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</si>
  <si>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</si>
  <si>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</si>
  <si>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</si>
  <si>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</si>
  <si>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</si>
  <si>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</si>
  <si>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</si>
  <si>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</si>
  <si>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</si>
  <si>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</si>
  <si>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</si>
  <si>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</si>
  <si>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</si>
  <si>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</si>
  <si>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</si>
  <si>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</si>
  <si>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</si>
  <si>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</si>
  <si>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</si>
  <si>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</si>
  <si>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</si>
  <si>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</si>
  <si>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</si>
  <si>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</si>
  <si>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</si>
  <si>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</si>
  <si>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</si>
  <si>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</si>
  <si>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</si>
  <si>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</si>
  <si>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</si>
  <si>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</si>
  <si>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</si>
  <si>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</si>
  <si>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</si>
  <si>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</si>
  <si>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</si>
  <si>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</si>
  <si>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</si>
  <si>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</si>
  <si>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</si>
  <si>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</si>
  <si>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</si>
  <si>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</si>
  <si>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</si>
  <si>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</si>
  <si>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</si>
  <si>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高山市</t>
  </si>
  <si>
    <t>関市</t>
  </si>
  <si>
    <t>中津川市</t>
  </si>
  <si>
    <t>美濃市</t>
  </si>
  <si>
    <t>瑞浪市</t>
  </si>
  <si>
    <t>羽島市</t>
  </si>
  <si>
    <t>恵那市</t>
  </si>
  <si>
    <t>美濃加茂市</t>
  </si>
  <si>
    <t>土岐市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</si>
  <si>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</si>
  <si>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</si>
  <si>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</si>
  <si>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</si>
  <si>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</si>
  <si>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</si>
  <si>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</si>
  <si>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</si>
  <si>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</si>
  <si>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</si>
  <si>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</si>
  <si>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</si>
  <si>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</si>
  <si>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</si>
  <si>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</si>
  <si>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</si>
  <si>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</si>
  <si>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</si>
  <si>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</si>
  <si>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</si>
  <si>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</si>
  <si>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</si>
  <si>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</si>
  <si>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</si>
  <si>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</si>
  <si>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</si>
  <si>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</si>
  <si>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熱海市</t>
  </si>
  <si>
    <t>伊東市</t>
  </si>
  <si>
    <t>下田市</t>
  </si>
  <si>
    <t>湖西市</t>
  </si>
  <si>
    <t>伊豆市</t>
  </si>
  <si>
    <t>御前崎市</t>
  </si>
  <si>
    <t>菊川市</t>
  </si>
  <si>
    <t>伊豆の国市</t>
  </si>
  <si>
    <t>牧之原市</t>
  </si>
  <si>
    <t>東伊豆町</t>
  </si>
  <si>
    <t>河津町</t>
  </si>
  <si>
    <t>南伊豆町</t>
  </si>
  <si>
    <t>松崎町</t>
  </si>
  <si>
    <t>西伊豆町</t>
  </si>
  <si>
    <t>吉田町</t>
  </si>
  <si>
    <t>瀬戸市</t>
  </si>
  <si>
    <t>清須市</t>
  </si>
  <si>
    <t>みよし市</t>
  </si>
  <si>
    <t>豊山町</t>
  </si>
  <si>
    <t>飛島村</t>
  </si>
  <si>
    <t>南知多町</t>
  </si>
  <si>
    <t>武豊町</t>
  </si>
  <si>
    <t>伊勢市</t>
  </si>
  <si>
    <t>松阪市</t>
  </si>
  <si>
    <t>尾鷲市</t>
  </si>
  <si>
    <t>鳥羽市</t>
  </si>
  <si>
    <t>熊野市</t>
  </si>
  <si>
    <t>志摩市</t>
  </si>
  <si>
    <t>多気町</t>
  </si>
  <si>
    <t>大台町</t>
  </si>
  <si>
    <t>玉城町</t>
  </si>
  <si>
    <t>度会町</t>
  </si>
  <si>
    <t>大紀町</t>
  </si>
  <si>
    <t>南伊勢町</t>
  </si>
  <si>
    <t>紀北町</t>
  </si>
  <si>
    <t>御浜町</t>
  </si>
  <si>
    <t>紀宝町</t>
  </si>
  <si>
    <t>近江八幡市</t>
  </si>
  <si>
    <t>栗東市</t>
  </si>
  <si>
    <t>高島市</t>
  </si>
  <si>
    <t>米原市</t>
  </si>
  <si>
    <t>日野町</t>
  </si>
  <si>
    <t>竜王町</t>
  </si>
  <si>
    <t>愛荘町</t>
  </si>
  <si>
    <t>豊郷町</t>
  </si>
  <si>
    <t>甲良町</t>
  </si>
  <si>
    <t>多賀町</t>
  </si>
  <si>
    <t>福知山市</t>
  </si>
  <si>
    <t>舞鶴市</t>
  </si>
  <si>
    <t>綾部市</t>
  </si>
  <si>
    <t>宮津市</t>
  </si>
  <si>
    <t>京丹後市</t>
  </si>
  <si>
    <t>南丹市</t>
  </si>
  <si>
    <t>井手町</t>
  </si>
  <si>
    <t>宇治田原町</t>
  </si>
  <si>
    <t>笠置町</t>
  </si>
  <si>
    <t>和束町</t>
  </si>
  <si>
    <t>南山城村</t>
  </si>
  <si>
    <t>京丹波町</t>
  </si>
  <si>
    <t>伊根町</t>
  </si>
  <si>
    <t>与謝野町</t>
  </si>
  <si>
    <t>大阪市</t>
  </si>
  <si>
    <t>太子町</t>
  </si>
  <si>
    <t>洲本市</t>
  </si>
  <si>
    <t>相生市</t>
  </si>
  <si>
    <t>豊岡市</t>
  </si>
  <si>
    <t>赤穂市</t>
  </si>
  <si>
    <t>西脇市</t>
  </si>
  <si>
    <t>小野市</t>
  </si>
  <si>
    <t>加西市</t>
  </si>
  <si>
    <t>丹波篠山市</t>
  </si>
  <si>
    <t>養父市</t>
  </si>
  <si>
    <t>丹波市</t>
  </si>
  <si>
    <t>南あわじ市</t>
  </si>
  <si>
    <t>朝来市</t>
  </si>
  <si>
    <t>淡路市</t>
  </si>
  <si>
    <t>宍粟市</t>
  </si>
  <si>
    <t>加東市</t>
  </si>
  <si>
    <t>たつの市</t>
  </si>
  <si>
    <t>多可町</t>
  </si>
  <si>
    <t>市川町</t>
  </si>
  <si>
    <t>福崎町</t>
  </si>
  <si>
    <t>神河町</t>
  </si>
  <si>
    <t>上郡町</t>
  </si>
  <si>
    <t>佐用町</t>
  </si>
  <si>
    <t>香美町</t>
  </si>
  <si>
    <t>新温泉町</t>
  </si>
  <si>
    <t>五條市</t>
  </si>
  <si>
    <t>御杖村</t>
  </si>
  <si>
    <t>高取町</t>
  </si>
  <si>
    <t>吉野町</t>
  </si>
  <si>
    <t>大淀町</t>
  </si>
  <si>
    <t>下市町</t>
  </si>
  <si>
    <t>黒滝村</t>
  </si>
  <si>
    <t>天川村</t>
  </si>
  <si>
    <t>野迫川村</t>
  </si>
  <si>
    <t>十津川村</t>
  </si>
  <si>
    <t>下北山村</t>
  </si>
  <si>
    <t>上北山村</t>
  </si>
  <si>
    <t>東吉野村</t>
  </si>
  <si>
    <t>海南市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</si>
  <si>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</si>
  <si>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</si>
  <si>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</si>
  <si>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</si>
  <si>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</si>
  <si>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</si>
  <si>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</si>
  <si>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</si>
  <si>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</si>
  <si>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</si>
  <si>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</si>
  <si>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</si>
  <si>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</si>
  <si>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</si>
  <si>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</si>
  <si>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</si>
  <si>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</si>
  <si>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</si>
  <si>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</si>
  <si>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</si>
  <si>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</si>
  <si>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</si>
  <si>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</si>
  <si>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</si>
  <si>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</si>
  <si>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</si>
  <si>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</si>
  <si>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</si>
  <si>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</si>
  <si>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</si>
  <si>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</si>
  <si>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</si>
  <si>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</si>
  <si>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</si>
  <si>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</si>
  <si>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</si>
  <si>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</si>
  <si>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</si>
  <si>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</si>
  <si>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</si>
  <si>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</si>
  <si>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</si>
  <si>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</si>
  <si>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</si>
  <si>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</si>
  <si>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</si>
  <si>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</si>
  <si>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</si>
  <si>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</si>
  <si>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</si>
  <si>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</si>
  <si>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</si>
  <si>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</si>
  <si>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</si>
  <si>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</si>
  <si>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</si>
  <si>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</si>
  <si>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</si>
  <si>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</si>
  <si>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</si>
  <si>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</si>
  <si>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</si>
  <si>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</si>
  <si>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</si>
  <si>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</si>
  <si>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</si>
  <si>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</si>
  <si>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</si>
  <si>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</si>
  <si>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</si>
  <si>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</si>
  <si>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</si>
  <si>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</si>
  <si>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</si>
  <si>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</si>
  <si>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</si>
  <si>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</si>
  <si>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</si>
  <si>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</si>
  <si>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</si>
  <si>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</si>
  <si>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</si>
  <si>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</si>
  <si>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</si>
  <si>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</si>
  <si>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</si>
  <si>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呉市</t>
  </si>
  <si>
    <t>竹原市</t>
  </si>
  <si>
    <t>三原市</t>
  </si>
  <si>
    <t>尾道市</t>
  </si>
  <si>
    <t>福山市</t>
  </si>
  <si>
    <t>三次市</t>
  </si>
  <si>
    <t>庄原市</t>
  </si>
  <si>
    <t>大竹市</t>
  </si>
  <si>
    <t>安芸高田市</t>
  </si>
  <si>
    <t>江田島市</t>
  </si>
  <si>
    <t>熊野町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</si>
  <si>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</si>
  <si>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</si>
  <si>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</si>
  <si>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</si>
  <si>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</si>
  <si>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</si>
  <si>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</si>
  <si>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</si>
  <si>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</si>
  <si>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</si>
  <si>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</si>
  <si>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</si>
  <si>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</si>
  <si>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</si>
  <si>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</si>
  <si>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</si>
  <si>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山陽小野田市</t>
  </si>
  <si>
    <t>周防大島町</t>
  </si>
  <si>
    <t>和木町</t>
  </si>
  <si>
    <t>上関町</t>
  </si>
  <si>
    <t>田布施町</t>
  </si>
  <si>
    <t>平生町</t>
  </si>
  <si>
    <t>阿武町</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</si>
  <si>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</si>
  <si>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</si>
  <si>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</si>
  <si>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</si>
  <si>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</si>
  <si>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</si>
  <si>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</si>
  <si>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</si>
  <si>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</si>
  <si>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</si>
  <si>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</si>
  <si>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</si>
  <si>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</si>
  <si>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</si>
  <si>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</si>
  <si>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</si>
  <si>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</si>
  <si>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</si>
  <si>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</si>
  <si>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</si>
  <si>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</si>
  <si>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</si>
  <si>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</si>
  <si>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</si>
  <si>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</si>
  <si>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</si>
  <si>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</si>
  <si>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</si>
  <si>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</si>
  <si>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</si>
  <si>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</si>
  <si>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</si>
  <si>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</si>
  <si>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</si>
  <si>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</si>
  <si>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</si>
  <si>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</si>
  <si>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</si>
  <si>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</si>
  <si>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</si>
  <si>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</si>
  <si>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</si>
  <si>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</si>
  <si>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</si>
  <si>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</si>
  <si>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</si>
  <si>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</si>
  <si>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</si>
  <si>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</si>
  <si>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</si>
  <si>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</si>
  <si>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</si>
  <si>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</si>
  <si>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</si>
  <si>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</si>
  <si>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</si>
  <si>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</si>
  <si>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</si>
  <si>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</si>
  <si>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</si>
  <si>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</si>
  <si>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</si>
  <si>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</si>
  <si>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</si>
  <si>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</si>
  <si>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</si>
  <si>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</si>
  <si>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</si>
  <si>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</si>
  <si>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</si>
  <si>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</si>
  <si>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</si>
  <si>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</si>
  <si>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</si>
  <si>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</si>
  <si>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</si>
  <si>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</si>
  <si>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</si>
  <si>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</si>
  <si>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</si>
  <si>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</si>
  <si>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</si>
  <si>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</si>
  <si>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</si>
  <si>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</si>
  <si>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</si>
  <si>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</si>
  <si>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</si>
  <si>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</si>
  <si>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</si>
  <si>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</si>
  <si>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</si>
  <si>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福岡市</t>
  </si>
  <si>
    <t>大牟田市</t>
  </si>
  <si>
    <t>久留米市</t>
  </si>
  <si>
    <t>直方市</t>
  </si>
  <si>
    <t>田川市</t>
  </si>
  <si>
    <t>柳川市</t>
  </si>
  <si>
    <t>八女市</t>
  </si>
  <si>
    <t>筑後市</t>
  </si>
  <si>
    <t>大川市</t>
  </si>
  <si>
    <t>行橋市</t>
  </si>
  <si>
    <t>豊前市</t>
  </si>
  <si>
    <t>中間市</t>
  </si>
  <si>
    <t>小郡市</t>
  </si>
  <si>
    <t>春日市</t>
  </si>
  <si>
    <t>宗像市</t>
  </si>
  <si>
    <t>うきは市</t>
  </si>
  <si>
    <t>宮若市</t>
  </si>
  <si>
    <t>嘉麻市</t>
  </si>
  <si>
    <t>朝倉市</t>
  </si>
  <si>
    <t>みやま市</t>
  </si>
  <si>
    <t>福岡県</t>
    <rPh sb="0" eb="3">
      <t>フクオカケン</t>
    </rPh>
    <phoneticPr fontId="5"/>
  </si>
  <si>
    <t>那珂川市</t>
    <rPh sb="0" eb="3">
      <t>ナカガワ</t>
    </rPh>
    <rPh sb="3" eb="4">
      <t>シ</t>
    </rPh>
    <phoneticPr fontId="5"/>
  </si>
  <si>
    <t>宇美町</t>
  </si>
  <si>
    <t>篠栗町</t>
  </si>
  <si>
    <t>志免町</t>
  </si>
  <si>
    <t>須恵町</t>
  </si>
  <si>
    <t>新宮町</t>
  </si>
  <si>
    <t>久山町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</si>
  <si>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</si>
  <si>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</si>
  <si>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</si>
  <si>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</si>
  <si>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</si>
  <si>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</si>
  <si>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</si>
  <si>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</si>
  <si>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</si>
  <si>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</si>
  <si>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</si>
  <si>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</si>
  <si>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</si>
  <si>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</si>
  <si>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</si>
  <si>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</si>
  <si>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</si>
  <si>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</si>
  <si>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</si>
  <si>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</si>
  <si>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</si>
  <si>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</si>
  <si>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</si>
  <si>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</si>
  <si>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</si>
  <si>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</si>
  <si>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</si>
  <si>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</si>
  <si>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</si>
  <si>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</si>
  <si>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</si>
  <si>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</si>
  <si>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</si>
  <si>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</si>
  <si>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</si>
  <si>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</si>
  <si>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</si>
  <si>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</si>
  <si>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</si>
  <si>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</si>
  <si>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</si>
  <si>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</si>
  <si>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</si>
  <si>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</si>
  <si>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</si>
  <si>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</si>
  <si>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</si>
  <si>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</si>
  <si>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</si>
  <si>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</si>
  <si>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</si>
  <si>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</si>
  <si>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</si>
  <si>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</si>
  <si>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</si>
  <si>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</si>
  <si>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</si>
  <si>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</si>
  <si>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</si>
  <si>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</si>
  <si>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</si>
  <si>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</si>
  <si>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</si>
  <si>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</si>
  <si>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</si>
  <si>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</si>
  <si>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</si>
  <si>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</si>
  <si>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</si>
  <si>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</si>
  <si>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</si>
  <si>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</si>
  <si>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</si>
  <si>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</si>
  <si>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</si>
  <si>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</si>
  <si>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</si>
  <si>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</si>
  <si>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</si>
  <si>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</si>
  <si>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</si>
  <si>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</si>
  <si>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</si>
  <si>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</si>
  <si>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</si>
  <si>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</si>
  <si>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</si>
  <si>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</si>
  <si>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</si>
  <si>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</si>
  <si>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</si>
  <si>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</si>
  <si>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</si>
  <si>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</si>
  <si>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</si>
  <si>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</si>
  <si>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</si>
  <si>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</si>
  <si>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</si>
  <si>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</si>
  <si>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</si>
  <si>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</si>
  <si>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</si>
  <si>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</si>
  <si>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</si>
  <si>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</si>
  <si>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</si>
  <si>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</si>
  <si>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</si>
  <si>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</si>
  <si>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</si>
  <si>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</si>
  <si>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</si>
  <si>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</si>
  <si>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</si>
  <si>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</si>
  <si>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</si>
  <si>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</si>
  <si>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</si>
  <si>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</si>
  <si>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</si>
  <si>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</si>
  <si>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</si>
  <si>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</si>
  <si>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</si>
  <si>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</si>
  <si>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</si>
  <si>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</si>
  <si>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</si>
  <si>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</si>
  <si>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</si>
  <si>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</si>
  <si>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</si>
  <si>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</si>
  <si>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</si>
  <si>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</si>
  <si>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</si>
  <si>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</si>
  <si>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</si>
  <si>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</si>
  <si>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</si>
  <si>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</si>
  <si>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</si>
  <si>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</si>
  <si>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</si>
  <si>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</si>
  <si>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</si>
  <si>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</si>
  <si>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</si>
  <si>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</si>
  <si>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</si>
  <si>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</si>
  <si>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</si>
  <si>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</si>
  <si>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</si>
  <si>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</si>
  <si>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</si>
  <si>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</si>
  <si>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</si>
  <si>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</si>
  <si>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</si>
  <si>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</si>
  <si>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</si>
  <si>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</si>
  <si>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</si>
  <si>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</si>
  <si>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</si>
  <si>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</si>
  <si>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</si>
  <si>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</si>
  <si>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</si>
  <si>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</si>
  <si>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</si>
  <si>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</si>
  <si>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</si>
  <si>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</si>
  <si>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</si>
  <si>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</si>
  <si>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</si>
  <si>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</si>
  <si>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</si>
  <si>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</si>
  <si>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</si>
  <si>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</si>
  <si>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</si>
  <si>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</si>
  <si>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</si>
  <si>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</si>
  <si>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</si>
  <si>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</si>
  <si>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</si>
  <si>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</si>
  <si>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</si>
  <si>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</si>
  <si>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</si>
  <si>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</si>
  <si>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</si>
  <si>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</si>
  <si>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</si>
  <si>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</si>
  <si>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</si>
  <si>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</si>
  <si>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</si>
  <si>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</si>
  <si>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</si>
  <si>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</si>
  <si>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</si>
  <si>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</si>
  <si>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</si>
  <si>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</si>
  <si>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</si>
  <si>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</si>
  <si>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</si>
  <si>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</si>
  <si>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</si>
  <si>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</si>
  <si>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</si>
  <si>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</si>
  <si>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</si>
  <si>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</si>
  <si>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</si>
  <si>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</si>
  <si>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</si>
  <si>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</si>
  <si>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</si>
  <si>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</si>
  <si>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</si>
  <si>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</si>
  <si>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</si>
  <si>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</si>
  <si>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</si>
  <si>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通所型サービス_独自_定額_19人未満_Ⅴ</t>
    <phoneticPr fontId="12"/>
  </si>
  <si>
    <t>通所型サービス_独自_定率_19人未満</t>
    <phoneticPr fontId="12"/>
  </si>
  <si>
    <t>通所型サービス_独自_19人未満_Ⅴ</t>
    <phoneticPr fontId="12"/>
  </si>
  <si>
    <t>通所型サービス_独自_定額_19人以上_Ⅴ</t>
    <phoneticPr fontId="12"/>
  </si>
  <si>
    <t>通所型サービス_独自_定率_19人以上_Ⅴ</t>
    <phoneticPr fontId="12"/>
  </si>
  <si>
    <t>通所型サービス_独自_19人以上_Ⅴ</t>
    <phoneticPr fontId="12"/>
  </si>
  <si>
    <t>訪問型サービス_独自_定額_Ⅴ</t>
    <phoneticPr fontId="12"/>
  </si>
  <si>
    <t>訪問型サービス_独自_定率_Ⅴ</t>
    <phoneticPr fontId="12"/>
  </si>
  <si>
    <t>地域密着型特定施設入居者生活介護_短期利用型_Ⅴ</t>
    <phoneticPr fontId="12"/>
  </si>
  <si>
    <t>地域密着型特定施設入居者生活介護_Ⅴ</t>
    <phoneticPr fontId="12"/>
  </si>
  <si>
    <t>介護予防短期入所療養介護_介護老人保健施設_Ⅴ</t>
    <phoneticPr fontId="12"/>
  </si>
  <si>
    <t>短期入所療養介護_介護医療院_R8</t>
    <phoneticPr fontId="12"/>
  </si>
  <si>
    <t>介護予防短期入所療養介護_病院等_老健以外__R8</t>
    <phoneticPr fontId="12"/>
  </si>
  <si>
    <t>短期入所療養介護_病院等_老健以外__R8</t>
    <phoneticPr fontId="12"/>
  </si>
  <si>
    <t>短期入所療養介護_病院等_老健以外__Ⅴ</t>
    <phoneticPr fontId="12"/>
  </si>
  <si>
    <t>介護予防短期入所療養介護_病院等_老健以外__Ⅴ</t>
    <phoneticPr fontId="12"/>
  </si>
  <si>
    <t>通所型サービス_独自_定額__19人未満__R8</t>
    <phoneticPr fontId="12"/>
  </si>
  <si>
    <t>通所型サービス_独自_定率__19人未満_R8</t>
    <rPh sb="12" eb="13">
      <t>リツ</t>
    </rPh>
    <phoneticPr fontId="12"/>
  </si>
  <si>
    <t>訪問型サービス_独自_定率_R8</t>
  </si>
  <si>
    <t>通所型サービス_独自__19人未満_R8</t>
    <phoneticPr fontId="12"/>
  </si>
  <si>
    <t>通所型サービス_独自_定額__19人以上_R8</t>
    <phoneticPr fontId="12"/>
  </si>
  <si>
    <t>通所型サービス_独自_定率__19人以上_R8</t>
    <phoneticPr fontId="12"/>
  </si>
  <si>
    <t>通所型サービス_独自__19人以上_R8</t>
    <phoneticPr fontId="12"/>
  </si>
  <si>
    <t>訪問型サービス_独自_定額_R8</t>
    <phoneticPr fontId="12"/>
  </si>
  <si>
    <t>分類</t>
    <rPh sb="0" eb="2">
      <t>ブンルイ</t>
    </rPh>
    <phoneticPr fontId="12"/>
  </si>
  <si>
    <t>⑤の必要数チェック</t>
    <rPh sb="2" eb="4">
      <t>ヒツヨウ</t>
    </rPh>
    <rPh sb="4" eb="5">
      <t>スウ</t>
    </rPh>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</si>
</sst>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_);[Red]\(#,##0\)"/>
    <numFmt numFmtId="177" formatCode="0.0%"/>
    <numFmt numFmtId="178" formatCode="0.00_ "/>
    <numFmt numFmtId="179" formatCode="0.0"/>
    <numFmt numFmtId="180" formatCode="0.0000"/>
    <numFmt numFmtId="181" formatCode="#,##0_ ;[Red]\-#,##0\ "/>
    <numFmt numFmtId="182" formatCode="0.000"/>
    <numFmt numFmtId="183" formatCode="0.000_);[Red]\(0.000\)"/>
    <numFmt numFmtId="184" formatCode="0_);[Red]\(0\)"/>
    <numFmt numFmtId="185" formatCode="#,##0.00_ ;[Red]\-#,##0.00\ "/>
  </numFmts>
  <fonts count="12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sz val="10"/>
      <name val="ＭＳ Ｐゴシック"/>
      <family val="3"/>
      <charset val="128"/>
      <scheme val="minor"/>
    </font>
    <font>
      <sz val="11"/>
      <name val="ＭＳ Ｐゴシック"/>
      <family val="3"/>
      <charset val="128"/>
      <scheme val="minor"/>
    </font>
    <font>
      <sz val="11"/>
      <color theme="1"/>
      <name val="ＭＳ Ｐゴシック"/>
      <family val="3"/>
      <charset val="128"/>
    </font>
    <font>
      <u/>
      <sz val="11"/>
      <color theme="10"/>
      <name val="ＭＳ Ｐゴシック"/>
      <family val="3"/>
      <charset val="128"/>
    </font>
    <font>
      <sz val="12"/>
      <name val="ＭＳ Ｐゴシック"/>
      <family val="3"/>
      <charset val="128"/>
    </font>
    <font>
      <b/>
      <sz val="12"/>
      <name val="ＭＳ Ｐゴシック"/>
      <family val="3"/>
      <charset val="128"/>
    </font>
    <font>
      <b/>
      <sz val="12"/>
      <color theme="1"/>
      <name val="ＭＳ Ｐゴシック"/>
      <family val="3"/>
      <charset val="128"/>
    </font>
    <font>
      <sz val="12"/>
      <color theme="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sz val="14"/>
      <color theme="1"/>
      <name val="ＭＳ Ｐゴシック"/>
      <family val="3"/>
      <charset val="128"/>
    </font>
    <font>
      <b/>
      <sz val="11"/>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11"/>
      <color theme="0"/>
      <name val="ＭＳ Ｐゴシック"/>
      <family val="3"/>
      <charset val="128"/>
    </font>
    <font>
      <sz val="9"/>
      <name val="ＭＳ Ｐゴシック"/>
      <family val="3"/>
      <charset val="128"/>
    </font>
    <font>
      <b/>
      <sz val="10"/>
      <name val="ＭＳ Ｐゴシック"/>
      <family val="3"/>
      <charset val="128"/>
    </font>
    <font>
      <b/>
      <sz val="10"/>
      <color theme="1"/>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0.5"/>
      <name val="ＭＳ Ｐゴシック"/>
      <family val="3"/>
      <charset val="128"/>
    </font>
    <font>
      <sz val="14"/>
      <name val="ＭＳ Ｐゴシック"/>
      <family val="3"/>
      <charset val="128"/>
    </font>
    <font>
      <sz val="6"/>
      <name val="ＭＳ Ｐゴシック"/>
      <family val="3"/>
      <charset val="128"/>
      <scheme val="minor"/>
    </font>
    <font>
      <sz val="11"/>
      <color theme="1"/>
      <name val="ＭＳ Ｐゴシック"/>
      <family val="2"/>
      <scheme val="minor"/>
    </font>
    <font>
      <sz val="11"/>
      <color theme="1"/>
      <name val="ＭＳ Ｐゴシック"/>
      <family val="3"/>
      <charset val="128"/>
      <scheme val="minor"/>
    </font>
    <font>
      <sz val="11"/>
      <color indexed="81"/>
      <name val="MS P ゴシック"/>
      <family val="3"/>
      <charset val="128"/>
    </font>
    <font>
      <sz val="10"/>
      <color rgb="FF000000"/>
      <name val="MS P ゴシック"/>
      <family val="3"/>
      <charset val="128"/>
    </font>
    <font>
      <b/>
      <u/>
      <sz val="10"/>
      <color rgb="FF000000"/>
      <name val="MS P ゴシック"/>
      <family val="3"/>
      <charset val="128"/>
    </font>
    <font>
      <b/>
      <sz val="14"/>
      <color theme="1"/>
      <name val="ＭＳ Ｐゴシック"/>
      <family val="3"/>
      <charset val="128"/>
    </font>
    <font>
      <b/>
      <sz val="10.5"/>
      <color indexed="60"/>
      <name val="ＭＳ Ｐゴシック"/>
      <family val="3"/>
      <charset val="128"/>
    </font>
    <font>
      <sz val="11"/>
      <color theme="1" tint="0.499984740745262"/>
      <name val="ＭＳ Ｐゴシック"/>
      <family val="3"/>
      <charset val="128"/>
    </font>
    <font>
      <sz val="15"/>
      <name val="ＭＳ Ｐゴシック"/>
      <family val="3"/>
      <charset val="128"/>
    </font>
    <font>
      <sz val="15"/>
      <color rgb="FFFF0000"/>
      <name val="ＭＳ Ｐゴシック"/>
      <family val="3"/>
      <charset val="128"/>
    </font>
    <font>
      <u/>
      <sz val="12"/>
      <name val="ＭＳ Ｐゴシック"/>
      <family val="3"/>
      <charset val="128"/>
    </font>
    <font>
      <sz val="9"/>
      <color indexed="81"/>
      <name val="MS P ゴシック"/>
      <family val="3"/>
      <charset val="128"/>
    </font>
    <font>
      <sz val="8"/>
      <color indexed="81"/>
      <name val="MS P ゴシック"/>
      <family val="3"/>
      <charset val="128"/>
    </font>
    <font>
      <b/>
      <u/>
      <sz val="8"/>
      <color indexed="81"/>
      <name val="MS P ゴシック"/>
      <family val="3"/>
      <charset val="128"/>
    </font>
    <font>
      <sz val="10"/>
      <name val="Meiryo UI"/>
      <family val="3"/>
      <charset val="128"/>
    </font>
    <font>
      <sz val="15"/>
      <color theme="1" tint="0.499984740745262"/>
      <name val="ＭＳ Ｐゴシック"/>
      <family val="3"/>
      <charset val="128"/>
    </font>
    <font>
      <sz val="9"/>
      <name val="ＭＳ Ｐゴシック"/>
      <family val="3"/>
      <charset val="128"/>
      <scheme val="minor"/>
    </font>
    <font>
      <b/>
      <u/>
      <sz val="9"/>
      <color indexed="81"/>
      <name val="MS P ゴシック"/>
      <family val="3"/>
      <charset val="128"/>
    </font>
    <font>
      <sz val="24"/>
      <name val="ＭＳ Ｐゴシック"/>
      <family val="2"/>
      <charset val="128"/>
    </font>
    <font>
      <sz val="20"/>
      <name val="ＭＳゴシック"/>
      <family val="3"/>
      <charset val="128"/>
    </font>
    <font>
      <sz val="20"/>
      <color theme="1"/>
      <name val="ＭＳゴシック"/>
      <family val="3"/>
      <charset val="128"/>
    </font>
    <font>
      <sz val="11"/>
      <name val="ＭＳ Ｐゴシック"/>
      <family val="2"/>
      <charset val="128"/>
    </font>
    <font>
      <sz val="11"/>
      <name val="ＭＳゴシック"/>
      <family val="3"/>
      <charset val="128"/>
    </font>
    <font>
      <sz val="11"/>
      <color theme="1"/>
      <name val="ＭＳゴシック"/>
      <family val="3"/>
      <charset val="128"/>
    </font>
    <font>
      <sz val="18"/>
      <name val="ＭＳ ゴシック"/>
      <family val="3"/>
      <charset val="128"/>
    </font>
    <font>
      <sz val="20"/>
      <name val="ＭＳ ゴシック"/>
      <family val="3"/>
      <charset val="128"/>
    </font>
    <font>
      <sz val="20"/>
      <name val="Segoe UI Symbol"/>
      <family val="3"/>
    </font>
    <font>
      <sz val="20"/>
      <name val="Calibri"/>
      <family val="3"/>
    </font>
    <font>
      <sz val="18"/>
      <color theme="1"/>
      <name val="ＭＳ ゴシック"/>
      <family val="3"/>
      <charset val="128"/>
    </font>
    <font>
      <sz val="24"/>
      <color theme="1"/>
      <name val="ＭＳ ゴシック"/>
      <family val="3"/>
      <charset val="128"/>
    </font>
    <font>
      <sz val="24"/>
      <name val="ＭＳ ゴシック"/>
      <family val="3"/>
      <charset val="128"/>
    </font>
    <font>
      <sz val="20"/>
      <name val="ＭＳゴシック"/>
      <family val="3"/>
    </font>
    <font>
      <sz val="6"/>
      <name val="ＭＳ Ｐゴシック"/>
      <family val="2"/>
      <charset val="128"/>
      <scheme val="minor"/>
    </font>
    <font>
      <sz val="11"/>
      <color theme="0" tint="-0.499984740745262"/>
      <name val="ＭＳ Ｐゴシック"/>
      <family val="3"/>
      <charset val="128"/>
    </font>
    <font>
      <sz val="12"/>
      <color rgb="FFFF0000"/>
      <name val="ＭＳ Ｐゴシック"/>
      <family val="3"/>
      <charset val="128"/>
    </font>
    <font>
      <sz val="13"/>
      <color theme="1"/>
      <name val="ＭＳ Ｐゴシック"/>
      <family val="3"/>
      <charset val="128"/>
    </font>
    <font>
      <sz val="11"/>
      <color rgb="FFFF0000"/>
      <name val="ＭＳ Ｐゴシック"/>
      <family val="3"/>
      <charset val="128"/>
    </font>
    <font>
      <sz val="8"/>
      <color rgb="FFFF0000"/>
      <name val="ＭＳ Ｐゴシック"/>
      <family val="3"/>
      <charset val="128"/>
    </font>
    <font>
      <sz val="9"/>
      <color theme="1" tint="0.499984740745262"/>
      <name val="ＭＳ Ｐゴシック"/>
      <family val="3"/>
      <charset val="128"/>
    </font>
    <font>
      <sz val="9"/>
      <color theme="0" tint="-0.499984740745262"/>
      <name val="ＭＳ Ｐゴシック"/>
      <family val="3"/>
      <charset val="128"/>
    </font>
    <font>
      <b/>
      <sz val="11"/>
      <color rgb="FFFF0000"/>
      <name val="ＭＳ Ｐゴシック"/>
      <family val="3"/>
      <charset val="128"/>
    </font>
    <font>
      <sz val="10"/>
      <color theme="1" tint="0.499984740745262"/>
      <name val="ＭＳ Ｐゴシック"/>
      <family val="3"/>
      <charset val="128"/>
    </font>
    <font>
      <sz val="10"/>
      <color theme="1" tint="0.249977111117893"/>
      <name val="ＭＳ Ｐゴシック"/>
      <family val="3"/>
      <charset val="128"/>
    </font>
    <font>
      <b/>
      <sz val="12"/>
      <color rgb="FFFF0000"/>
      <name val="ＭＳ Ｐゴシック"/>
      <family val="3"/>
      <charset val="128"/>
    </font>
    <font>
      <b/>
      <sz val="11"/>
      <color rgb="FF000000"/>
      <name val="ＭＳ Ｐゴシック"/>
      <family val="3"/>
      <charset val="128"/>
    </font>
    <font>
      <sz val="9"/>
      <color rgb="FF000000"/>
      <name val="MS P ゴシック"/>
      <family val="3"/>
      <charset val="128"/>
    </font>
    <font>
      <sz val="9"/>
      <color rgb="FF000000"/>
      <name val="MS P ゴシック"/>
      <charset val="128"/>
    </font>
    <font>
      <b/>
      <sz val="22"/>
      <color theme="1"/>
      <name val="ＭＳ Ｐゴシック"/>
      <family val="3"/>
      <charset val="128"/>
    </font>
    <font>
      <sz val="12"/>
      <color theme="1" tint="0.499984740745262"/>
      <name val="ＭＳ Ｐゴシック"/>
      <family val="3"/>
      <charset val="128"/>
    </font>
    <font>
      <sz val="14"/>
      <color theme="0" tint="-4.9989318521683403E-2"/>
      <name val="ＭＳ Ｐゴシック"/>
      <family val="3"/>
      <charset val="128"/>
    </font>
    <font>
      <sz val="11"/>
      <color theme="0" tint="-4.9989318521683403E-2"/>
      <name val="ＭＳ Ｐゴシック"/>
      <family val="3"/>
      <charset val="128"/>
    </font>
    <font>
      <sz val="18"/>
      <color theme="1"/>
      <name val="ＭＳ Ｐゴシック"/>
      <family val="3"/>
      <charset val="128"/>
    </font>
    <font>
      <sz val="11"/>
      <color theme="1" tint="0.34998626667073579"/>
      <name val="ＭＳ Ｐゴシック"/>
      <family val="3"/>
      <charset val="128"/>
    </font>
    <font>
      <sz val="14"/>
      <color rgb="FFFF0000"/>
      <name val="ＭＳ Ｐゴシック"/>
      <family val="3"/>
      <charset val="128"/>
    </font>
    <font>
      <sz val="13"/>
      <name val="ＭＳ Ｐゴシック"/>
      <family val="3"/>
      <charset val="128"/>
    </font>
    <font>
      <sz val="14"/>
      <color theme="1" tint="0.499984740745262"/>
      <name val="ＭＳ Ｐゴシック"/>
      <family val="3"/>
      <charset val="128"/>
    </font>
    <font>
      <b/>
      <sz val="16"/>
      <name val="ＭＳ Ｐゴシック"/>
      <family val="3"/>
      <charset val="128"/>
    </font>
    <font>
      <sz val="14"/>
      <color theme="1" tint="0.34998626667073579"/>
      <name val="ＭＳ Ｐゴシック"/>
      <family val="3"/>
      <charset val="128"/>
    </font>
    <font>
      <b/>
      <sz val="14"/>
      <color rgb="FFFF0000"/>
      <name val="ＭＳ Ｐゴシック"/>
      <family val="3"/>
      <charset val="128"/>
    </font>
    <font>
      <sz val="6"/>
      <color theme="1"/>
      <name val="ＭＳ ゴシック"/>
      <family val="3"/>
      <charset val="128"/>
    </font>
    <font>
      <sz val="20"/>
      <color theme="1"/>
      <name val="ＭＳ Ｐゴシック"/>
      <family val="3"/>
      <charset val="128"/>
    </font>
    <font>
      <sz val="10"/>
      <name val="ＭＳ 明朝"/>
      <family val="1"/>
      <charset val="128"/>
    </font>
    <font>
      <sz val="15"/>
      <color theme="1"/>
      <name val="ＭＳ Ｐゴシック"/>
      <family val="3"/>
      <charset val="128"/>
    </font>
    <font>
      <b/>
      <sz val="9"/>
      <name val="ＭＳ Ｐゴシック"/>
      <family val="3"/>
      <charset val="128"/>
    </font>
    <font>
      <b/>
      <sz val="14"/>
      <name val="ＭＳ Ｐゴシック"/>
      <family val="3"/>
      <charset val="128"/>
    </font>
    <font>
      <sz val="12"/>
      <color rgb="FF000000"/>
      <name val="ＭＳ Ｐゴシック"/>
      <family val="3"/>
      <charset val="128"/>
    </font>
    <font>
      <strike/>
      <sz val="10"/>
      <name val="ＭＳ Ｐゴシック"/>
      <family val="3"/>
      <charset val="128"/>
    </font>
    <font>
      <b/>
      <sz val="10"/>
      <color indexed="81"/>
      <name val="MS P ゴシック"/>
      <family val="3"/>
      <charset val="128"/>
    </font>
    <font>
      <sz val="8"/>
      <color theme="1" tint="0.499984740745262"/>
      <name val="ＭＳ Ｐゴシック"/>
      <family val="3"/>
      <charset val="128"/>
    </font>
    <font>
      <b/>
      <sz val="11"/>
      <color indexed="81"/>
      <name val="MS P ゴシック"/>
      <family val="3"/>
      <charset val="128"/>
    </font>
    <font>
      <b/>
      <u/>
      <sz val="11"/>
      <color indexed="81"/>
      <name val="MS P ゴシック"/>
      <family val="3"/>
      <charset val="128"/>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FFFFCC"/>
        <bgColor indexed="64"/>
      </patternFill>
    </fill>
    <fill>
      <patternFill patternType="solid">
        <fgColor rgb="FFFFF2CC"/>
        <bgColor indexed="64"/>
      </patternFill>
    </fill>
    <fill>
      <patternFill patternType="solid">
        <fgColor rgb="FFFFFF00"/>
        <bgColor indexed="64"/>
      </patternFill>
    </fill>
    <fill>
      <patternFill patternType="solid">
        <fgColor theme="9" tint="0.79998168889431442"/>
        <bgColor indexed="64"/>
      </patternFill>
    </fill>
    <fill>
      <patternFill patternType="solid">
        <fgColor rgb="FFFFFFCC"/>
        <bgColor rgb="FF000000"/>
      </patternFill>
    </fill>
  </fills>
  <borders count="14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top/>
      <bottom style="medium">
        <color indexed="30"/>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thin">
        <color indexed="64"/>
      </top>
      <bottom/>
      <diagonal/>
    </border>
    <border>
      <left style="medium">
        <color indexed="64"/>
      </left>
      <right/>
      <top/>
      <bottom/>
      <diagonal/>
    </border>
    <border>
      <left style="medium">
        <color indexed="64"/>
      </left>
      <right style="thin">
        <color indexed="64"/>
      </right>
      <top/>
      <bottom/>
      <diagonal/>
    </border>
    <border>
      <left/>
      <right style="hair">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style="thin">
        <color auto="1"/>
      </top>
      <bottom/>
      <diagonal/>
    </border>
    <border>
      <left style="hair">
        <color indexed="64"/>
      </left>
      <right/>
      <top style="thin">
        <color indexed="64"/>
      </top>
      <bottom style="thin">
        <color indexed="64"/>
      </bottom>
      <diagonal/>
    </border>
    <border>
      <left style="hair">
        <color indexed="64"/>
      </left>
      <right style="hair">
        <color indexed="64"/>
      </right>
      <top style="thin">
        <color auto="1"/>
      </top>
      <bottom style="thin">
        <color indexed="64"/>
      </bottom>
      <diagonal/>
    </border>
    <border>
      <left style="medium">
        <color indexed="64"/>
      </left>
      <right style="medium">
        <color indexed="64"/>
      </right>
      <top/>
      <bottom/>
      <diagonal/>
    </border>
    <border>
      <left/>
      <right style="medium">
        <color indexed="64"/>
      </right>
      <top/>
      <bottom/>
      <diagonal/>
    </border>
    <border>
      <left/>
      <right style="medium">
        <color indexed="64"/>
      </right>
      <top/>
      <bottom style="medium">
        <color indexed="64"/>
      </bottom>
      <diagonal/>
    </border>
    <border>
      <left/>
      <right/>
      <top style="thin">
        <color indexed="64"/>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right style="thin">
        <color theme="1" tint="0.499984740745262"/>
      </right>
      <top/>
      <bottom/>
      <diagonal/>
    </border>
    <border>
      <left style="medium">
        <color indexed="64"/>
      </left>
      <right/>
      <top style="medium">
        <color indexed="64"/>
      </top>
      <bottom style="hair">
        <color indexed="64"/>
      </bottom>
      <diagonal/>
    </border>
    <border>
      <left style="medium">
        <color indexed="64"/>
      </left>
      <right/>
      <top/>
      <bottom style="hair">
        <color indexed="64"/>
      </bottom>
      <diagonal/>
    </border>
    <border>
      <left/>
      <right/>
      <top style="hair">
        <color indexed="64"/>
      </top>
      <bottom style="hair">
        <color indexed="64"/>
      </bottom>
      <diagonal/>
    </border>
    <border>
      <left style="medium">
        <color indexed="64"/>
      </left>
      <right/>
      <top style="hair">
        <color indexed="64"/>
      </top>
      <bottom style="thin">
        <color indexed="64"/>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
      <left style="medium">
        <color indexed="64"/>
      </left>
      <right/>
      <top style="hair">
        <color indexed="64"/>
      </top>
      <bottom style="medium">
        <color indexed="64"/>
      </bottom>
      <diagonal/>
    </border>
    <border>
      <left/>
      <right style="medium">
        <color indexed="64"/>
      </right>
      <top style="thin">
        <color indexed="64"/>
      </top>
      <bottom/>
      <diagonal/>
    </border>
    <border>
      <left/>
      <right/>
      <top/>
      <bottom style="thin">
        <color theme="1" tint="0.499984740745262"/>
      </bottom>
      <diagonal/>
    </border>
    <border>
      <left style="thin">
        <color theme="1" tint="0.499984740745262"/>
      </left>
      <right/>
      <top/>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right style="medium">
        <color indexed="64"/>
      </right>
      <top style="medium">
        <color indexed="64"/>
      </top>
      <bottom style="hair">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
      <left/>
      <right style="medium">
        <color indexed="64"/>
      </right>
      <top style="hair">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thick">
        <color indexed="64"/>
      </left>
      <right style="thick">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s>
  <cellStyleXfs count="102">
    <xf numFmtId="0" fontId="0" fillId="0" borderId="0">
      <alignment vertical="center"/>
    </xf>
    <xf numFmtId="0" fontId="13" fillId="2" borderId="0" applyNumberFormat="0" applyBorder="0" applyAlignment="0" applyProtection="0">
      <alignment vertical="center"/>
    </xf>
    <xf numFmtId="0" fontId="13" fillId="3"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4" fillId="12"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9" borderId="0" applyNumberFormat="0" applyBorder="0" applyAlignment="0" applyProtection="0">
      <alignment vertical="center"/>
    </xf>
    <xf numFmtId="0" fontId="15" fillId="0" borderId="0" applyNumberFormat="0" applyFill="0" applyBorder="0" applyAlignment="0" applyProtection="0">
      <alignment vertical="center"/>
    </xf>
    <xf numFmtId="0" fontId="16" fillId="20" borderId="1" applyNumberFormat="0" applyAlignment="0" applyProtection="0">
      <alignment vertical="center"/>
    </xf>
    <xf numFmtId="0" fontId="17" fillId="21" borderId="0" applyNumberFormat="0" applyBorder="0" applyAlignment="0" applyProtection="0">
      <alignment vertical="center"/>
    </xf>
    <xf numFmtId="9" fontId="11" fillId="0" borderId="0" applyFont="0" applyFill="0" applyBorder="0" applyAlignment="0" applyProtection="0">
      <alignment vertical="center"/>
    </xf>
    <xf numFmtId="0" fontId="13" fillId="22" borderId="2" applyNumberFormat="0" applyFont="0" applyAlignment="0" applyProtection="0">
      <alignment vertical="center"/>
    </xf>
    <xf numFmtId="0" fontId="18" fillId="0" borderId="3" applyNumberFormat="0" applyFill="0" applyAlignment="0" applyProtection="0">
      <alignment vertical="center"/>
    </xf>
    <xf numFmtId="0" fontId="19" fillId="3" borderId="0" applyNumberFormat="0" applyBorder="0" applyAlignment="0" applyProtection="0">
      <alignment vertical="center"/>
    </xf>
    <xf numFmtId="0" fontId="20" fillId="23" borderId="4" applyNumberFormat="0" applyAlignment="0" applyProtection="0">
      <alignment vertical="center"/>
    </xf>
    <xf numFmtId="0" fontId="21" fillId="0" borderId="0" applyNumberFormat="0" applyFill="0" applyBorder="0" applyAlignment="0" applyProtection="0">
      <alignment vertical="center"/>
    </xf>
    <xf numFmtId="38" fontId="11" fillId="0" borderId="0" applyFont="0" applyFill="0" applyBorder="0" applyAlignment="0" applyProtection="0">
      <alignment vertical="center"/>
    </xf>
    <xf numFmtId="0" fontId="22" fillId="0" borderId="5" applyNumberFormat="0" applyFill="0" applyAlignment="0" applyProtection="0">
      <alignment vertical="center"/>
    </xf>
    <xf numFmtId="0" fontId="23" fillId="0" borderId="6" applyNumberFormat="0" applyFill="0" applyAlignment="0" applyProtection="0">
      <alignment vertical="center"/>
    </xf>
    <xf numFmtId="0" fontId="24" fillId="0" borderId="7" applyNumberFormat="0" applyFill="0" applyAlignment="0" applyProtection="0">
      <alignment vertical="center"/>
    </xf>
    <xf numFmtId="0" fontId="24" fillId="0" borderId="0" applyNumberFormat="0" applyFill="0" applyBorder="0" applyAlignment="0" applyProtection="0">
      <alignment vertical="center"/>
    </xf>
    <xf numFmtId="0" fontId="25" fillId="0" borderId="8" applyNumberFormat="0" applyFill="0" applyAlignment="0" applyProtection="0">
      <alignment vertical="center"/>
    </xf>
    <xf numFmtId="0" fontId="26" fillId="23" borderId="9" applyNumberFormat="0" applyAlignment="0" applyProtection="0">
      <alignment vertical="center"/>
    </xf>
    <xf numFmtId="0" fontId="27" fillId="0" borderId="0" applyNumberFormat="0" applyFill="0" applyBorder="0" applyAlignment="0" applyProtection="0">
      <alignment vertical="center"/>
    </xf>
    <xf numFmtId="0" fontId="28" fillId="7" borderId="4" applyNumberFormat="0" applyAlignment="0" applyProtection="0">
      <alignment vertical="center"/>
    </xf>
    <xf numFmtId="0" fontId="30" fillId="0" borderId="0"/>
    <xf numFmtId="0" fontId="29" fillId="4" borderId="0" applyNumberFormat="0" applyBorder="0" applyAlignment="0" applyProtection="0">
      <alignment vertical="center"/>
    </xf>
    <xf numFmtId="0" fontId="10" fillId="0" borderId="0">
      <alignment vertical="center"/>
    </xf>
    <xf numFmtId="0" fontId="9" fillId="0" borderId="0">
      <alignment vertical="center"/>
    </xf>
    <xf numFmtId="0" fontId="8" fillId="0" borderId="0">
      <alignment vertical="center"/>
    </xf>
    <xf numFmtId="0" fontId="34" fillId="0" borderId="0" applyNumberFormat="0" applyFill="0" applyBorder="0" applyAlignment="0" applyProtection="0">
      <alignment vertical="center"/>
    </xf>
    <xf numFmtId="38" fontId="11" fillId="0" borderId="0" applyFont="0" applyFill="0" applyBorder="0" applyAlignment="0" applyProtection="0">
      <alignment vertical="center"/>
    </xf>
    <xf numFmtId="9" fontId="11" fillId="0" borderId="0" applyFont="0" applyFill="0" applyBorder="0" applyAlignment="0" applyProtection="0">
      <alignment vertical="center"/>
    </xf>
    <xf numFmtId="0" fontId="7" fillId="0" borderId="0">
      <alignment vertical="center"/>
    </xf>
    <xf numFmtId="0" fontId="13" fillId="2" borderId="0" applyNumberFormat="0" applyBorder="0" applyAlignment="0" applyProtection="0">
      <alignment vertical="center"/>
    </xf>
    <xf numFmtId="0" fontId="13" fillId="3"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4" fillId="12"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9" borderId="0" applyNumberFormat="0" applyBorder="0" applyAlignment="0" applyProtection="0">
      <alignment vertical="center"/>
    </xf>
    <xf numFmtId="0" fontId="15" fillId="0" borderId="0" applyNumberFormat="0" applyFill="0" applyBorder="0" applyAlignment="0" applyProtection="0">
      <alignment vertical="center"/>
    </xf>
    <xf numFmtId="0" fontId="16" fillId="20" borderId="1" applyNumberFormat="0" applyAlignment="0" applyProtection="0">
      <alignment vertical="center"/>
    </xf>
    <xf numFmtId="0" fontId="17" fillId="21" borderId="0" applyNumberFormat="0" applyBorder="0" applyAlignment="0" applyProtection="0">
      <alignment vertical="center"/>
    </xf>
    <xf numFmtId="0" fontId="13" fillId="22" borderId="2" applyNumberFormat="0" applyFont="0" applyAlignment="0" applyProtection="0">
      <alignment vertical="center"/>
    </xf>
    <xf numFmtId="0" fontId="18" fillId="0" borderId="3" applyNumberFormat="0" applyFill="0" applyAlignment="0" applyProtection="0">
      <alignment vertical="center"/>
    </xf>
    <xf numFmtId="0" fontId="19" fillId="3" borderId="0" applyNumberFormat="0" applyBorder="0" applyAlignment="0" applyProtection="0">
      <alignment vertical="center"/>
    </xf>
    <xf numFmtId="0" fontId="20" fillId="23" borderId="4" applyNumberFormat="0" applyAlignment="0" applyProtection="0">
      <alignment vertical="center"/>
    </xf>
    <xf numFmtId="0" fontId="21" fillId="0" borderId="0" applyNumberFormat="0" applyFill="0" applyBorder="0" applyAlignment="0" applyProtection="0">
      <alignment vertical="center"/>
    </xf>
    <xf numFmtId="0" fontId="22" fillId="0" borderId="5" applyNumberFormat="0" applyFill="0" applyAlignment="0" applyProtection="0">
      <alignment vertical="center"/>
    </xf>
    <xf numFmtId="0" fontId="23" fillId="0" borderId="6" applyNumberFormat="0" applyFill="0" applyAlignment="0" applyProtection="0">
      <alignment vertical="center"/>
    </xf>
    <xf numFmtId="0" fontId="24" fillId="0" borderId="62" applyNumberFormat="0" applyFill="0" applyAlignment="0" applyProtection="0">
      <alignment vertical="center"/>
    </xf>
    <xf numFmtId="0" fontId="24" fillId="0" borderId="0" applyNumberFormat="0" applyFill="0" applyBorder="0" applyAlignment="0" applyProtection="0">
      <alignment vertical="center"/>
    </xf>
    <xf numFmtId="0" fontId="25" fillId="0" borderId="8" applyNumberFormat="0" applyFill="0" applyAlignment="0" applyProtection="0">
      <alignment vertical="center"/>
    </xf>
    <xf numFmtId="0" fontId="26" fillId="23" borderId="9" applyNumberFormat="0" applyAlignment="0" applyProtection="0">
      <alignment vertical="center"/>
    </xf>
    <xf numFmtId="0" fontId="27" fillId="0" borderId="0" applyNumberFormat="0" applyFill="0" applyBorder="0" applyAlignment="0" applyProtection="0">
      <alignment vertical="center"/>
    </xf>
    <xf numFmtId="0" fontId="28" fillId="7" borderId="4" applyNumberFormat="0" applyAlignment="0" applyProtection="0">
      <alignment vertical="center"/>
    </xf>
    <xf numFmtId="0" fontId="30" fillId="0" borderId="0"/>
    <xf numFmtId="0" fontId="29" fillId="4" borderId="0" applyNumberFormat="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11" fillId="0" borderId="0">
      <alignment vertical="center"/>
    </xf>
    <xf numFmtId="0" fontId="58" fillId="0" borderId="0"/>
    <xf numFmtId="0" fontId="59" fillId="0" borderId="0">
      <alignment vertical="center"/>
    </xf>
    <xf numFmtId="0" fontId="11" fillId="0" borderId="0"/>
    <xf numFmtId="0" fontId="11" fillId="0" borderId="0">
      <alignment vertical="center"/>
    </xf>
  </cellStyleXfs>
  <cellXfs count="1031">
    <xf numFmtId="0" fontId="0" fillId="0" borderId="0" xfId="0">
      <alignment vertical="center"/>
    </xf>
    <xf numFmtId="0" fontId="32" fillId="0" borderId="0" xfId="0" applyFont="1">
      <alignment vertical="center"/>
    </xf>
    <xf numFmtId="0" fontId="31" fillId="0" borderId="0" xfId="0" applyFont="1">
      <alignment vertical="center"/>
    </xf>
    <xf numFmtId="0" fontId="31" fillId="0" borderId="53" xfId="0" applyFont="1" applyBorder="1">
      <alignment vertical="center"/>
    </xf>
    <xf numFmtId="0" fontId="31" fillId="0" borderId="59" xfId="0" applyFont="1" applyBorder="1">
      <alignment vertical="center"/>
    </xf>
    <xf numFmtId="0" fontId="31" fillId="0" borderId="60" xfId="0" applyFont="1" applyBorder="1">
      <alignment vertical="center"/>
    </xf>
    <xf numFmtId="0" fontId="31" fillId="0" borderId="58" xfId="0" applyFont="1" applyBorder="1">
      <alignment vertical="center"/>
    </xf>
    <xf numFmtId="0" fontId="32" fillId="0" borderId="60" xfId="0" applyFont="1" applyBorder="1">
      <alignment vertical="center"/>
    </xf>
    <xf numFmtId="0" fontId="32" fillId="0" borderId="63" xfId="0" applyFont="1" applyBorder="1">
      <alignment vertical="center"/>
    </xf>
    <xf numFmtId="0" fontId="31" fillId="0" borderId="34" xfId="0" applyFont="1" applyBorder="1" applyAlignment="1">
      <alignment horizontal="left" vertical="center" wrapText="1"/>
    </xf>
    <xf numFmtId="0" fontId="31" fillId="0" borderId="53" xfId="0" applyFont="1" applyBorder="1" applyAlignment="1">
      <alignment vertical="center" wrapText="1"/>
    </xf>
    <xf numFmtId="0" fontId="0" fillId="0" borderId="0" xfId="0" applyProtection="1">
      <alignment vertical="center"/>
      <protection locked="0"/>
    </xf>
    <xf numFmtId="0" fontId="45" fillId="0" borderId="0" xfId="0" applyFont="1">
      <alignment vertical="center"/>
    </xf>
    <xf numFmtId="0" fontId="53" fillId="0" borderId="0" xfId="0" applyFont="1">
      <alignment vertical="center"/>
    </xf>
    <xf numFmtId="0" fontId="0" fillId="0" borderId="0" xfId="0" applyAlignment="1">
      <alignment vertical="center" wrapText="1"/>
    </xf>
    <xf numFmtId="0" fontId="0" fillId="24" borderId="0" xfId="0" applyFill="1">
      <alignment vertical="center"/>
    </xf>
    <xf numFmtId="0" fontId="35" fillId="0" borderId="0" xfId="0" applyFont="1">
      <alignment vertical="center"/>
    </xf>
    <xf numFmtId="177" fontId="31" fillId="0" borderId="41" xfId="28" applyNumberFormat="1" applyFont="1" applyBorder="1" applyAlignment="1">
      <alignment vertical="center" wrapText="1"/>
    </xf>
    <xf numFmtId="177" fontId="31" fillId="0" borderId="10" xfId="28" applyNumberFormat="1" applyFont="1" applyBorder="1" applyAlignment="1">
      <alignment vertical="center" wrapText="1"/>
    </xf>
    <xf numFmtId="177" fontId="31" fillId="0" borderId="33" xfId="28" applyNumberFormat="1" applyFont="1" applyBorder="1" applyAlignment="1">
      <alignment vertical="center" wrapText="1"/>
    </xf>
    <xf numFmtId="177" fontId="31" fillId="0" borderId="24" xfId="28" applyNumberFormat="1" applyFont="1" applyBorder="1" applyAlignment="1">
      <alignment vertical="center" wrapText="1"/>
    </xf>
    <xf numFmtId="49" fontId="72" fillId="0" borderId="0" xfId="0" applyNumberFormat="1" applyFont="1">
      <alignment vertical="center"/>
    </xf>
    <xf numFmtId="0" fontId="31" fillId="0" borderId="28" xfId="0" applyFont="1" applyBorder="1" applyAlignment="1">
      <alignment horizontal="left" vertical="center" wrapText="1"/>
    </xf>
    <xf numFmtId="180" fontId="32" fillId="0" borderId="0" xfId="0" applyNumberFormat="1" applyFont="1">
      <alignment vertical="center"/>
    </xf>
    <xf numFmtId="0" fontId="72" fillId="0" borderId="0" xfId="0" applyFont="1">
      <alignment vertical="center"/>
    </xf>
    <xf numFmtId="0" fontId="31" fillId="0" borderId="57" xfId="0" applyFont="1" applyBorder="1" applyAlignment="1">
      <alignment vertical="center" wrapText="1"/>
    </xf>
    <xf numFmtId="0" fontId="32" fillId="0" borderId="58" xfId="0" applyFont="1" applyBorder="1">
      <alignment vertical="center"/>
    </xf>
    <xf numFmtId="0" fontId="32" fillId="0" borderId="59" xfId="0" applyFont="1" applyBorder="1">
      <alignment vertical="center"/>
    </xf>
    <xf numFmtId="0" fontId="56" fillId="0" borderId="0" xfId="0" applyFont="1">
      <alignment vertical="center"/>
    </xf>
    <xf numFmtId="0" fontId="0" fillId="0" borderId="0" xfId="0" applyAlignment="1">
      <alignment horizontal="left" vertical="center"/>
    </xf>
    <xf numFmtId="9" fontId="45" fillId="0" borderId="49" xfId="28" applyFont="1" applyBorder="1">
      <alignment vertical="center"/>
    </xf>
    <xf numFmtId="0" fontId="45" fillId="0" borderId="52" xfId="0" applyFont="1" applyBorder="1">
      <alignment vertical="center"/>
    </xf>
    <xf numFmtId="0" fontId="45" fillId="0" borderId="41" xfId="0" applyFont="1" applyBorder="1">
      <alignment vertical="center"/>
    </xf>
    <xf numFmtId="2" fontId="45" fillId="0" borderId="10" xfId="0" applyNumberFormat="1" applyFont="1" applyBorder="1">
      <alignment vertical="center"/>
    </xf>
    <xf numFmtId="0" fontId="45" fillId="0" borderId="10" xfId="0" applyFont="1" applyBorder="1">
      <alignment vertical="center"/>
    </xf>
    <xf numFmtId="0" fontId="45" fillId="0" borderId="39" xfId="0" applyFont="1" applyBorder="1">
      <alignment vertical="center"/>
    </xf>
    <xf numFmtId="0" fontId="45" fillId="0" borderId="33" xfId="0" applyFont="1" applyBorder="1">
      <alignment vertical="center"/>
    </xf>
    <xf numFmtId="0" fontId="45" fillId="0" borderId="24" xfId="0" applyFont="1" applyBorder="1">
      <alignment vertical="center"/>
    </xf>
    <xf numFmtId="0" fontId="31" fillId="0" borderId="56" xfId="0" applyFont="1" applyBorder="1">
      <alignment vertical="center"/>
    </xf>
    <xf numFmtId="0" fontId="31" fillId="0" borderId="11" xfId="0" applyFont="1" applyBorder="1">
      <alignment vertical="center"/>
    </xf>
    <xf numFmtId="0" fontId="31" fillId="0" borderId="32" xfId="0" applyFont="1" applyBorder="1">
      <alignment vertical="center"/>
    </xf>
    <xf numFmtId="0" fontId="45" fillId="0" borderId="49" xfId="0" applyFont="1" applyBorder="1">
      <alignment vertical="center"/>
    </xf>
    <xf numFmtId="0" fontId="45" fillId="0" borderId="72" xfId="0" applyFont="1" applyBorder="1">
      <alignment vertical="center"/>
    </xf>
    <xf numFmtId="0" fontId="45" fillId="0" borderId="12" xfId="0" applyFont="1" applyBorder="1">
      <alignment vertical="center"/>
    </xf>
    <xf numFmtId="9" fontId="45" fillId="0" borderId="48" xfId="28" applyFont="1" applyBorder="1">
      <alignment vertical="center"/>
    </xf>
    <xf numFmtId="2" fontId="45" fillId="0" borderId="41" xfId="0" applyNumberFormat="1" applyFont="1" applyBorder="1">
      <alignment vertical="center"/>
    </xf>
    <xf numFmtId="0" fontId="31" fillId="0" borderId="86" xfId="0" applyFont="1" applyBorder="1">
      <alignment vertical="center"/>
    </xf>
    <xf numFmtId="0" fontId="31" fillId="0" borderId="18" xfId="0" applyFont="1" applyBorder="1">
      <alignment vertical="center"/>
    </xf>
    <xf numFmtId="0" fontId="45" fillId="0" borderId="13" xfId="0" applyFont="1" applyBorder="1">
      <alignment vertical="center"/>
    </xf>
    <xf numFmtId="0" fontId="45" fillId="0" borderId="51" xfId="0" applyFont="1" applyBorder="1">
      <alignment vertical="center"/>
    </xf>
    <xf numFmtId="0" fontId="45" fillId="0" borderId="43" xfId="0" applyFont="1" applyBorder="1">
      <alignment vertical="center"/>
    </xf>
    <xf numFmtId="0" fontId="45" fillId="0" borderId="20" xfId="0" applyFont="1" applyBorder="1">
      <alignment vertical="center"/>
    </xf>
    <xf numFmtId="0" fontId="31" fillId="0" borderId="87" xfId="0" applyFont="1" applyBorder="1">
      <alignment vertical="center"/>
    </xf>
    <xf numFmtId="0" fontId="45" fillId="0" borderId="47" xfId="0" applyFont="1" applyBorder="1">
      <alignment vertical="center"/>
    </xf>
    <xf numFmtId="0" fontId="45" fillId="0" borderId="54" xfId="0" applyFont="1" applyBorder="1">
      <alignment vertical="center"/>
    </xf>
    <xf numFmtId="2" fontId="45" fillId="0" borderId="31" xfId="0" applyNumberFormat="1" applyFont="1" applyBorder="1">
      <alignment vertical="center"/>
    </xf>
    <xf numFmtId="2" fontId="45" fillId="0" borderId="43" xfId="0" applyNumberFormat="1" applyFont="1" applyBorder="1">
      <alignment vertical="center"/>
    </xf>
    <xf numFmtId="0" fontId="45" fillId="0" borderId="35" xfId="0" applyFont="1" applyBorder="1">
      <alignment vertical="center"/>
    </xf>
    <xf numFmtId="2" fontId="45" fillId="0" borderId="33" xfId="0" applyNumberFormat="1" applyFont="1" applyBorder="1">
      <alignment vertical="center"/>
    </xf>
    <xf numFmtId="2" fontId="45" fillId="0" borderId="24" xfId="0" applyNumberFormat="1" applyFont="1" applyBorder="1">
      <alignment vertical="center"/>
    </xf>
    <xf numFmtId="0" fontId="45" fillId="0" borderId="42" xfId="0" applyFont="1" applyBorder="1">
      <alignment vertical="center"/>
    </xf>
    <xf numFmtId="0" fontId="45" fillId="0" borderId="31" xfId="0" applyFont="1" applyBorder="1">
      <alignment vertical="center"/>
    </xf>
    <xf numFmtId="0" fontId="31" fillId="0" borderId="73" xfId="0" applyFont="1" applyBorder="1" applyAlignment="1">
      <alignment horizontal="left" vertical="center" wrapText="1"/>
    </xf>
    <xf numFmtId="0" fontId="31" fillId="0" borderId="40" xfId="0" applyFont="1" applyBorder="1" applyAlignment="1">
      <alignment horizontal="left" vertical="center" wrapText="1"/>
    </xf>
    <xf numFmtId="177" fontId="31" fillId="0" borderId="31" xfId="28" applyNumberFormat="1" applyFont="1" applyBorder="1" applyAlignment="1">
      <alignment vertical="center" wrapText="1"/>
    </xf>
    <xf numFmtId="177" fontId="31" fillId="0" borderId="43" xfId="28" applyNumberFormat="1" applyFont="1" applyBorder="1" applyAlignment="1">
      <alignment vertical="center" wrapText="1"/>
    </xf>
    <xf numFmtId="178" fontId="35" fillId="0" borderId="11" xfId="0" applyNumberFormat="1" applyFont="1" applyBorder="1" applyAlignment="1" applyProtection="1">
      <alignment horizontal="right" vertical="center" shrinkToFit="1"/>
      <protection locked="0"/>
    </xf>
    <xf numFmtId="9" fontId="45" fillId="0" borderId="50" xfId="28" applyFont="1" applyBorder="1">
      <alignment vertical="center"/>
    </xf>
    <xf numFmtId="0" fontId="45" fillId="0" borderId="19" xfId="0" applyFont="1" applyBorder="1">
      <alignment vertical="center"/>
    </xf>
    <xf numFmtId="0" fontId="45" fillId="0" borderId="23" xfId="0" applyFont="1" applyBorder="1">
      <alignment vertical="center"/>
    </xf>
    <xf numFmtId="177" fontId="31" fillId="0" borderId="16" xfId="28" applyNumberFormat="1" applyFont="1" applyBorder="1" applyAlignment="1">
      <alignment vertical="center" wrapText="1"/>
    </xf>
    <xf numFmtId="177" fontId="31" fillId="0" borderId="54" xfId="28" applyNumberFormat="1" applyFont="1" applyBorder="1" applyAlignment="1">
      <alignment vertical="center" wrapText="1"/>
    </xf>
    <xf numFmtId="177" fontId="31" fillId="0" borderId="12" xfId="28" applyNumberFormat="1" applyFont="1" applyBorder="1" applyAlignment="1">
      <alignment vertical="center" wrapText="1"/>
    </xf>
    <xf numFmtId="177" fontId="31" fillId="0" borderId="35" xfId="28" applyNumberFormat="1" applyFont="1" applyBorder="1" applyAlignment="1">
      <alignment vertical="center" wrapText="1"/>
    </xf>
    <xf numFmtId="0" fontId="31" fillId="0" borderId="0" xfId="0" applyFont="1" applyAlignment="1">
      <alignment horizontal="left" vertical="center" wrapText="1"/>
    </xf>
    <xf numFmtId="177" fontId="31" fillId="0" borderId="39" xfId="28" applyNumberFormat="1" applyFont="1" applyBorder="1" applyAlignment="1">
      <alignment vertical="center" wrapText="1"/>
    </xf>
    <xf numFmtId="177" fontId="31" fillId="0" borderId="59" xfId="28" applyNumberFormat="1" applyFont="1" applyBorder="1" applyAlignment="1">
      <alignment vertical="center" wrapText="1"/>
    </xf>
    <xf numFmtId="177" fontId="31" fillId="0" borderId="60" xfId="28" applyNumberFormat="1" applyFont="1" applyBorder="1" applyAlignment="1">
      <alignment vertical="center" wrapText="1"/>
    </xf>
    <xf numFmtId="177" fontId="31" fillId="0" borderId="58" xfId="28" applyNumberFormat="1" applyFont="1" applyBorder="1" applyAlignment="1">
      <alignment vertical="center" wrapText="1"/>
    </xf>
    <xf numFmtId="0" fontId="31" fillId="0" borderId="59" xfId="0" applyFont="1" applyBorder="1" applyAlignment="1">
      <alignment horizontal="left" vertical="center" wrapText="1"/>
    </xf>
    <xf numFmtId="0" fontId="31" fillId="0" borderId="60" xfId="0" applyFont="1" applyBorder="1" applyAlignment="1">
      <alignment horizontal="left" vertical="center" wrapText="1"/>
    </xf>
    <xf numFmtId="9" fontId="31" fillId="0" borderId="19" xfId="28" applyFont="1" applyBorder="1">
      <alignment vertical="center"/>
    </xf>
    <xf numFmtId="9" fontId="31" fillId="0" borderId="20" xfId="28" applyFont="1" applyBorder="1">
      <alignment vertical="center"/>
    </xf>
    <xf numFmtId="177" fontId="31" fillId="0" borderId="70" xfId="28" applyNumberFormat="1" applyFont="1" applyBorder="1" applyAlignment="1">
      <alignment vertical="center" wrapText="1"/>
    </xf>
    <xf numFmtId="177" fontId="31" fillId="0" borderId="65" xfId="28" applyNumberFormat="1" applyFont="1" applyBorder="1" applyAlignment="1">
      <alignment vertical="center" wrapText="1"/>
    </xf>
    <xf numFmtId="0" fontId="31" fillId="0" borderId="76" xfId="0" applyFont="1" applyBorder="1">
      <alignment vertical="center"/>
    </xf>
    <xf numFmtId="2" fontId="45" fillId="0" borderId="54" xfId="0" applyNumberFormat="1" applyFont="1" applyBorder="1">
      <alignment vertical="center"/>
    </xf>
    <xf numFmtId="2" fontId="45" fillId="0" borderId="12" xfId="0" applyNumberFormat="1" applyFont="1" applyBorder="1">
      <alignment vertical="center"/>
    </xf>
    <xf numFmtId="2" fontId="45" fillId="0" borderId="35" xfId="0" applyNumberFormat="1" applyFont="1" applyBorder="1">
      <alignment vertical="center"/>
    </xf>
    <xf numFmtId="0" fontId="31" fillId="0" borderId="31" xfId="0" applyFont="1" applyBorder="1">
      <alignment vertical="center"/>
    </xf>
    <xf numFmtId="0" fontId="31" fillId="0" borderId="41" xfId="0" applyFont="1" applyBorder="1" applyAlignment="1">
      <alignment horizontal="left" vertical="center" wrapText="1"/>
    </xf>
    <xf numFmtId="0" fontId="31" fillId="0" borderId="33" xfId="0" applyFont="1" applyBorder="1" applyAlignment="1">
      <alignment horizontal="left" vertical="center" wrapText="1"/>
    </xf>
    <xf numFmtId="177" fontId="31" fillId="0" borderId="80" xfId="28" applyNumberFormat="1" applyFont="1" applyBorder="1" applyAlignment="1">
      <alignment vertical="center" wrapText="1"/>
    </xf>
    <xf numFmtId="0" fontId="31" fillId="0" borderId="0" xfId="0" applyFont="1" applyAlignment="1">
      <alignment horizontal="center" vertical="center"/>
    </xf>
    <xf numFmtId="177" fontId="31" fillId="0" borderId="34" xfId="28" applyNumberFormat="1" applyFont="1" applyBorder="1" applyAlignment="1">
      <alignment vertical="center" wrapText="1"/>
    </xf>
    <xf numFmtId="177" fontId="31" fillId="0" borderId="73" xfId="28" applyNumberFormat="1" applyFont="1" applyBorder="1" applyAlignment="1">
      <alignment vertical="center" wrapText="1"/>
    </xf>
    <xf numFmtId="0" fontId="45" fillId="0" borderId="0" xfId="0" applyFont="1" applyAlignment="1">
      <alignment vertical="top"/>
    </xf>
    <xf numFmtId="0" fontId="35" fillId="0" borderId="0" xfId="0" applyFont="1" applyAlignment="1">
      <alignment vertical="top"/>
    </xf>
    <xf numFmtId="0" fontId="30" fillId="0" borderId="0" xfId="0" applyFont="1">
      <alignment vertical="center"/>
    </xf>
    <xf numFmtId="0" fontId="110" fillId="0" borderId="0" xfId="0" applyFont="1">
      <alignment vertical="center"/>
    </xf>
    <xf numFmtId="0" fontId="110" fillId="0" borderId="0" xfId="0" applyFont="1" applyAlignment="1">
      <alignment vertical="center" wrapText="1"/>
    </xf>
    <xf numFmtId="38" fontId="56" fillId="0" borderId="61" xfId="34" applyFont="1" applyBorder="1" applyAlignment="1" applyProtection="1">
      <alignment vertical="center" wrapText="1"/>
    </xf>
    <xf numFmtId="0" fontId="56" fillId="0" borderId="0" xfId="0" applyFont="1" applyProtection="1">
      <alignment vertical="center"/>
      <protection locked="0"/>
    </xf>
    <xf numFmtId="0" fontId="56" fillId="0" borderId="0" xfId="0" applyFont="1" applyAlignment="1" applyProtection="1">
      <alignment vertical="center" shrinkToFit="1"/>
      <protection locked="0"/>
    </xf>
    <xf numFmtId="0" fontId="35" fillId="0" borderId="0" xfId="0" applyFont="1" applyProtection="1">
      <alignment vertical="center"/>
      <protection locked="0"/>
    </xf>
    <xf numFmtId="0" fontId="56" fillId="0" borderId="0" xfId="0" applyFont="1" applyAlignment="1" applyProtection="1">
      <alignment horizontal="right" vertical="center"/>
      <protection locked="0"/>
    </xf>
    <xf numFmtId="0" fontId="0" fillId="0" borderId="0" xfId="0" applyAlignment="1" applyProtection="1">
      <alignment vertical="center" wrapText="1"/>
      <protection locked="0"/>
    </xf>
    <xf numFmtId="0" fontId="0" fillId="0" borderId="0" xfId="0" applyAlignment="1">
      <alignment vertical="center" shrinkToFit="1"/>
    </xf>
    <xf numFmtId="49" fontId="0" fillId="0" borderId="0" xfId="0" applyNumberFormat="1">
      <alignment vertical="center"/>
    </xf>
    <xf numFmtId="0" fontId="31" fillId="0" borderId="58" xfId="0" applyFont="1" applyBorder="1" applyAlignment="1">
      <alignment horizontal="center" vertical="center"/>
    </xf>
    <xf numFmtId="0" fontId="31" fillId="0" borderId="60" xfId="0" applyFont="1" applyBorder="1" applyAlignment="1">
      <alignment horizontal="center" vertical="center"/>
    </xf>
    <xf numFmtId="0" fontId="31" fillId="0" borderId="63" xfId="43" applyFont="1" applyBorder="1" applyAlignment="1">
      <alignment horizontal="left" vertical="center" wrapText="1"/>
    </xf>
    <xf numFmtId="177" fontId="31" fillId="0" borderId="18" xfId="50" applyNumberFormat="1" applyFont="1" applyBorder="1" applyAlignment="1">
      <alignment vertical="center" wrapText="1"/>
    </xf>
    <xf numFmtId="0" fontId="31" fillId="0" borderId="40" xfId="43" applyFont="1" applyBorder="1" applyAlignment="1">
      <alignment horizontal="left" vertical="center" wrapText="1"/>
    </xf>
    <xf numFmtId="0" fontId="31" fillId="0" borderId="19" xfId="28" applyNumberFormat="1" applyFont="1" applyFill="1" applyBorder="1" applyAlignment="1">
      <alignment horizontal="center" vertical="center" wrapText="1"/>
    </xf>
    <xf numFmtId="0" fontId="31" fillId="0" borderId="59" xfId="43" applyFont="1" applyBorder="1" applyAlignment="1">
      <alignment horizontal="left" vertical="center" wrapText="1"/>
    </xf>
    <xf numFmtId="177" fontId="31" fillId="0" borderId="11" xfId="50" applyNumberFormat="1" applyFont="1" applyBorder="1" applyAlignment="1">
      <alignment vertical="center" wrapText="1"/>
    </xf>
    <xf numFmtId="0" fontId="31" fillId="0" borderId="90" xfId="0" applyFont="1" applyBorder="1" applyAlignment="1">
      <alignment vertical="center" wrapText="1"/>
    </xf>
    <xf numFmtId="0" fontId="31" fillId="0" borderId="34" xfId="43" applyFont="1" applyBorder="1" applyAlignment="1">
      <alignment horizontal="left" vertical="center" wrapText="1"/>
    </xf>
    <xf numFmtId="0" fontId="31" fillId="0" borderId="20" xfId="28" applyNumberFormat="1" applyFont="1" applyFill="1" applyBorder="1" applyAlignment="1">
      <alignment horizontal="center" vertical="center" wrapText="1"/>
    </xf>
    <xf numFmtId="177" fontId="31" fillId="0" borderId="20" xfId="50" applyNumberFormat="1" applyFont="1" applyBorder="1" applyAlignment="1">
      <alignment vertical="center" wrapText="1"/>
    </xf>
    <xf numFmtId="0" fontId="31" fillId="0" borderId="34" xfId="0" applyFont="1" applyBorder="1">
      <alignment vertical="center"/>
    </xf>
    <xf numFmtId="0" fontId="31" fillId="0" borderId="11" xfId="43" applyFont="1" applyBorder="1" applyAlignment="1">
      <alignment vertical="center" wrapText="1"/>
    </xf>
    <xf numFmtId="177" fontId="31" fillId="0" borderId="11" xfId="50" applyNumberFormat="1" applyFont="1" applyFill="1" applyBorder="1" applyAlignment="1">
      <alignment vertical="center" wrapText="1"/>
    </xf>
    <xf numFmtId="177" fontId="31" fillId="0" borderId="20" xfId="50" applyNumberFormat="1" applyFont="1" applyFill="1" applyBorder="1" applyAlignment="1">
      <alignment vertical="center" wrapText="1"/>
    </xf>
    <xf numFmtId="177" fontId="31" fillId="0" borderId="32" xfId="50" applyNumberFormat="1" applyFont="1" applyFill="1" applyBorder="1" applyAlignment="1">
      <alignment vertical="center" wrapText="1"/>
    </xf>
    <xf numFmtId="177" fontId="31" fillId="0" borderId="23" xfId="50" applyNumberFormat="1" applyFont="1" applyFill="1" applyBorder="1" applyAlignment="1">
      <alignment vertical="center" wrapText="1"/>
    </xf>
    <xf numFmtId="0" fontId="31" fillId="0" borderId="58" xfId="43" applyFont="1" applyBorder="1" applyAlignment="1">
      <alignment horizontal="center" vertical="center" wrapText="1"/>
    </xf>
    <xf numFmtId="0" fontId="31" fillId="0" borderId="56" xfId="43" applyFont="1" applyBorder="1" applyAlignment="1">
      <alignment horizontal="center" vertical="center" wrapText="1"/>
    </xf>
    <xf numFmtId="0" fontId="31" fillId="0" borderId="19" xfId="43" applyFont="1" applyBorder="1" applyAlignment="1">
      <alignment horizontal="center" vertical="center" wrapText="1"/>
    </xf>
    <xf numFmtId="177" fontId="31" fillId="0" borderId="0" xfId="28" applyNumberFormat="1" applyFont="1" applyBorder="1" applyAlignment="1">
      <alignment vertical="center" wrapText="1"/>
    </xf>
    <xf numFmtId="49" fontId="31" fillId="0" borderId="73" xfId="0" applyNumberFormat="1" applyFont="1" applyBorder="1">
      <alignment vertical="center"/>
    </xf>
    <xf numFmtId="49" fontId="31" fillId="0" borderId="34" xfId="0" applyNumberFormat="1" applyFont="1" applyBorder="1">
      <alignment vertical="center"/>
    </xf>
    <xf numFmtId="0" fontId="31" fillId="0" borderId="78" xfId="0" applyFont="1" applyBorder="1" applyAlignment="1">
      <alignment horizontal="left" vertical="center" wrapText="1"/>
    </xf>
    <xf numFmtId="0" fontId="31" fillId="0" borderId="85" xfId="0" applyFont="1" applyBorder="1" applyAlignment="1">
      <alignment horizontal="center" vertical="center"/>
    </xf>
    <xf numFmtId="0" fontId="31" fillId="0" borderId="84" xfId="43" applyFont="1" applyBorder="1" applyAlignment="1">
      <alignment horizontal="center" vertical="center" wrapText="1"/>
    </xf>
    <xf numFmtId="0" fontId="63" fillId="30" borderId="84" xfId="0" applyFont="1" applyFill="1" applyBorder="1" applyAlignment="1" applyProtection="1">
      <alignment horizontal="center" vertical="center" shrinkToFit="1"/>
      <protection locked="0"/>
    </xf>
    <xf numFmtId="38" fontId="38" fillId="27" borderId="10" xfId="34" applyFont="1" applyFill="1" applyBorder="1" applyAlignment="1" applyProtection="1">
      <alignment horizontal="center" vertical="center" wrapText="1"/>
      <protection locked="0"/>
    </xf>
    <xf numFmtId="38" fontId="38" fillId="27" borderId="20" xfId="34" applyFont="1" applyFill="1" applyBorder="1" applyAlignment="1" applyProtection="1">
      <alignment vertical="center" shrinkToFit="1"/>
      <protection locked="0"/>
    </xf>
    <xf numFmtId="177" fontId="31" fillId="0" borderId="41" xfId="28" applyNumberFormat="1" applyFont="1" applyBorder="1" applyAlignment="1">
      <alignment horizontal="right" vertical="center" wrapText="1"/>
    </xf>
    <xf numFmtId="177" fontId="31" fillId="0" borderId="10" xfId="28" applyNumberFormat="1" applyFont="1" applyBorder="1" applyAlignment="1">
      <alignment horizontal="right" vertical="center" wrapText="1"/>
    </xf>
    <xf numFmtId="0" fontId="38" fillId="0" borderId="30" xfId="0" applyFont="1" applyBorder="1" applyProtection="1">
      <alignment vertical="center"/>
      <protection locked="0"/>
    </xf>
    <xf numFmtId="2" fontId="42" fillId="0" borderId="66" xfId="28" applyNumberFormat="1" applyFont="1" applyFill="1" applyBorder="1" applyAlignment="1" applyProtection="1">
      <alignment vertical="center" wrapText="1" shrinkToFit="1"/>
    </xf>
    <xf numFmtId="0" fontId="0" fillId="0" borderId="0" xfId="0" applyAlignment="1" applyProtection="1">
      <alignment horizontal="center" vertical="center"/>
      <protection locked="0"/>
    </xf>
    <xf numFmtId="177" fontId="119" fillId="0" borderId="10" xfId="0" applyNumberFormat="1" applyFont="1" applyBorder="1" applyAlignment="1">
      <alignment vertical="center" wrapText="1"/>
    </xf>
    <xf numFmtId="177" fontId="119" fillId="0" borderId="10" xfId="28" applyNumberFormat="1" applyFont="1" applyBorder="1" applyAlignment="1">
      <alignment vertical="center" wrapText="1"/>
    </xf>
    <xf numFmtId="177" fontId="119" fillId="0" borderId="10" xfId="28" applyNumberFormat="1" applyFont="1" applyBorder="1" applyAlignment="1">
      <alignment vertical="center"/>
    </xf>
    <xf numFmtId="177" fontId="31" fillId="0" borderId="17" xfId="28" applyNumberFormat="1" applyFont="1" applyBorder="1" applyAlignment="1">
      <alignment vertical="center" wrapText="1"/>
    </xf>
    <xf numFmtId="177" fontId="31" fillId="0" borderId="29" xfId="28" applyNumberFormat="1" applyFont="1" applyBorder="1" applyAlignment="1">
      <alignment vertical="center" wrapText="1"/>
    </xf>
    <xf numFmtId="177" fontId="31" fillId="0" borderId="93" xfId="28" applyNumberFormat="1" applyFont="1" applyBorder="1" applyAlignment="1">
      <alignment vertical="center" wrapText="1"/>
    </xf>
    <xf numFmtId="0" fontId="31" fillId="0" borderId="56" xfId="99" applyFont="1" applyBorder="1">
      <alignment vertical="center"/>
    </xf>
    <xf numFmtId="0" fontId="31" fillId="0" borderId="11" xfId="99" applyFont="1" applyBorder="1">
      <alignment vertical="center"/>
    </xf>
    <xf numFmtId="0" fontId="31" fillId="0" borderId="32" xfId="99" applyFont="1" applyBorder="1">
      <alignment vertical="center"/>
    </xf>
    <xf numFmtId="0" fontId="31" fillId="0" borderId="18" xfId="99" applyFont="1" applyBorder="1">
      <alignment vertical="center"/>
    </xf>
    <xf numFmtId="0" fontId="31" fillId="0" borderId="87" xfId="99" applyFont="1" applyBorder="1">
      <alignment vertical="center"/>
    </xf>
    <xf numFmtId="177" fontId="42" fillId="24" borderId="61" xfId="28" applyNumberFormat="1" applyFont="1" applyFill="1" applyBorder="1" applyAlignment="1" applyProtection="1">
      <alignment horizontal="center" vertical="center" shrinkToFit="1"/>
    </xf>
    <xf numFmtId="176" fontId="118" fillId="0" borderId="61" xfId="0" applyNumberFormat="1" applyFont="1" applyBorder="1" applyAlignment="1" applyProtection="1">
      <alignment horizontal="center" vertical="center" shrinkToFit="1"/>
      <protection locked="0"/>
    </xf>
    <xf numFmtId="176" fontId="118" fillId="0" borderId="61" xfId="0" applyNumberFormat="1" applyFont="1" applyBorder="1" applyAlignment="1" applyProtection="1">
      <alignment horizontal="center" vertical="center" wrapText="1" shrinkToFit="1"/>
      <protection locked="0"/>
    </xf>
    <xf numFmtId="176" fontId="118" fillId="0" borderId="61" xfId="0" applyNumberFormat="1" applyFont="1" applyBorder="1" applyAlignment="1" applyProtection="1">
      <alignment vertical="center" shrinkToFit="1"/>
      <protection locked="0"/>
    </xf>
    <xf numFmtId="176" fontId="118" fillId="0" borderId="66" xfId="0" applyNumberFormat="1" applyFont="1" applyBorder="1" applyAlignment="1" applyProtection="1">
      <alignment horizontal="center" vertical="center" wrapText="1" shrinkToFit="1"/>
      <protection locked="0"/>
    </xf>
    <xf numFmtId="176" fontId="38" fillId="0" borderId="66" xfId="0" applyNumberFormat="1" applyFont="1" applyBorder="1" applyAlignment="1" applyProtection="1">
      <alignment horizontal="center" vertical="center" wrapText="1" shrinkToFit="1"/>
      <protection locked="0"/>
    </xf>
    <xf numFmtId="176" fontId="120" fillId="0" borderId="85" xfId="0" applyNumberFormat="1" applyFont="1" applyBorder="1" applyAlignment="1" applyProtection="1">
      <alignment horizontal="center" vertical="center" wrapText="1" shrinkToFit="1"/>
      <protection locked="0"/>
    </xf>
    <xf numFmtId="38" fontId="56" fillId="0" borderId="49" xfId="34" applyFont="1" applyBorder="1" applyAlignment="1" applyProtection="1">
      <alignment vertical="center" wrapText="1"/>
    </xf>
    <xf numFmtId="2" fontId="42" fillId="0" borderId="72" xfId="28" applyNumberFormat="1" applyFont="1" applyFill="1" applyBorder="1" applyAlignment="1" applyProtection="1">
      <alignment vertical="center" wrapText="1" shrinkToFit="1"/>
    </xf>
    <xf numFmtId="0" fontId="63" fillId="30" borderId="48" xfId="0" applyFont="1" applyFill="1" applyBorder="1" applyAlignment="1" applyProtection="1">
      <alignment horizontal="center" vertical="center" shrinkToFit="1"/>
      <protection locked="0"/>
    </xf>
    <xf numFmtId="177" fontId="42" fillId="24" borderId="49" xfId="28" applyNumberFormat="1" applyFont="1" applyFill="1" applyBorder="1" applyAlignment="1" applyProtection="1">
      <alignment horizontal="center" vertical="center" shrinkToFit="1"/>
    </xf>
    <xf numFmtId="0" fontId="38" fillId="0" borderId="25" xfId="0" applyFont="1" applyBorder="1" applyProtection="1">
      <alignment vertical="center"/>
      <protection locked="0"/>
    </xf>
    <xf numFmtId="176" fontId="120" fillId="0" borderId="50" xfId="0" applyNumberFormat="1" applyFont="1" applyBorder="1" applyAlignment="1" applyProtection="1">
      <alignment horizontal="center" vertical="center" wrapText="1" shrinkToFit="1"/>
      <protection locked="0"/>
    </xf>
    <xf numFmtId="0" fontId="31" fillId="0" borderId="44" xfId="0" applyFont="1" applyBorder="1">
      <alignment vertical="center"/>
    </xf>
    <xf numFmtId="0" fontId="31" fillId="0" borderId="38" xfId="0" applyFont="1" applyBorder="1">
      <alignment vertical="center"/>
    </xf>
    <xf numFmtId="49" fontId="31" fillId="0" borderId="38" xfId="0" applyNumberFormat="1" applyFont="1" applyBorder="1">
      <alignment vertical="center"/>
    </xf>
    <xf numFmtId="0" fontId="31" fillId="0" borderId="133" xfId="0" applyFont="1" applyBorder="1">
      <alignment vertical="center"/>
    </xf>
    <xf numFmtId="49" fontId="31" fillId="0" borderId="53" xfId="0" applyNumberFormat="1" applyFont="1" applyBorder="1">
      <alignment vertical="center"/>
    </xf>
    <xf numFmtId="0" fontId="31" fillId="0" borderId="63" xfId="0" applyFont="1" applyBorder="1">
      <alignment vertical="center"/>
    </xf>
    <xf numFmtId="49" fontId="31" fillId="0" borderId="59" xfId="0" applyNumberFormat="1" applyFont="1" applyBorder="1">
      <alignment vertical="center"/>
    </xf>
    <xf numFmtId="49" fontId="31" fillId="0" borderId="76" xfId="0" applyNumberFormat="1" applyFont="1" applyBorder="1">
      <alignment vertical="center"/>
    </xf>
    <xf numFmtId="49" fontId="31" fillId="0" borderId="92" xfId="0" applyNumberFormat="1" applyFont="1" applyBorder="1">
      <alignment vertical="center"/>
    </xf>
    <xf numFmtId="177" fontId="31" fillId="0" borderId="79" xfId="28" applyNumberFormat="1" applyFont="1" applyBorder="1" applyAlignment="1">
      <alignment vertical="center" wrapText="1"/>
    </xf>
    <xf numFmtId="177" fontId="31" fillId="0" borderId="21" xfId="28" applyNumberFormat="1" applyFont="1" applyBorder="1" applyAlignment="1">
      <alignment vertical="center" wrapText="1"/>
    </xf>
    <xf numFmtId="177" fontId="31" fillId="0" borderId="132" xfId="28" applyNumberFormat="1" applyFont="1" applyBorder="1" applyAlignment="1">
      <alignment vertical="center" wrapText="1"/>
    </xf>
    <xf numFmtId="177" fontId="31" fillId="0" borderId="31" xfId="28" applyNumberFormat="1" applyFont="1" applyBorder="1" applyAlignment="1">
      <alignment horizontal="right" vertical="center" wrapText="1"/>
    </xf>
    <xf numFmtId="177" fontId="31" fillId="0" borderId="43" xfId="28" applyNumberFormat="1" applyFont="1" applyBorder="1" applyAlignment="1">
      <alignment horizontal="right" vertical="center" wrapText="1"/>
    </xf>
    <xf numFmtId="177" fontId="119" fillId="0" borderId="43" xfId="0" applyNumberFormat="1" applyFont="1" applyBorder="1" applyAlignment="1">
      <alignment vertical="center" wrapText="1"/>
    </xf>
    <xf numFmtId="177" fontId="119" fillId="0" borderId="134" xfId="0" applyNumberFormat="1" applyFont="1" applyBorder="1" applyAlignment="1">
      <alignment vertical="center" wrapText="1"/>
    </xf>
    <xf numFmtId="177" fontId="119" fillId="0" borderId="38" xfId="0" applyNumberFormat="1" applyFont="1" applyBorder="1" applyAlignment="1">
      <alignment vertical="center" wrapText="1"/>
    </xf>
    <xf numFmtId="177" fontId="119" fillId="0" borderId="38" xfId="28" applyNumberFormat="1" applyFont="1" applyBorder="1" applyAlignment="1">
      <alignment vertical="center" wrapText="1"/>
    </xf>
    <xf numFmtId="177" fontId="119" fillId="0" borderId="38" xfId="28" applyNumberFormat="1" applyFont="1" applyBorder="1" applyAlignment="1">
      <alignment vertical="center"/>
    </xf>
    <xf numFmtId="177" fontId="119" fillId="0" borderId="91" xfId="28" applyNumberFormat="1" applyFont="1" applyBorder="1" applyAlignment="1">
      <alignment vertical="center" wrapText="1"/>
    </xf>
    <xf numFmtId="177" fontId="119" fillId="0" borderId="44" xfId="0" applyNumberFormat="1" applyFont="1" applyBorder="1" applyAlignment="1">
      <alignment vertical="center" wrapText="1"/>
    </xf>
    <xf numFmtId="177" fontId="119" fillId="0" borderId="111" xfId="0" applyNumberFormat="1" applyFont="1" applyBorder="1" applyAlignment="1">
      <alignment vertical="center" wrapText="1"/>
    </xf>
    <xf numFmtId="177" fontId="31" fillId="0" borderId="20" xfId="28" applyNumberFormat="1" applyFont="1" applyBorder="1" applyAlignment="1">
      <alignment vertical="center" wrapText="1"/>
    </xf>
    <xf numFmtId="177" fontId="31" fillId="0" borderId="23" xfId="28" applyNumberFormat="1" applyFont="1" applyBorder="1" applyAlignment="1">
      <alignment vertical="center" wrapText="1"/>
    </xf>
    <xf numFmtId="177" fontId="31" fillId="0" borderId="19" xfId="28" applyNumberFormat="1" applyFont="1" applyBorder="1" applyAlignment="1">
      <alignment vertical="center" wrapText="1"/>
    </xf>
    <xf numFmtId="0" fontId="31" fillId="0" borderId="55" xfId="0" applyFont="1" applyBorder="1" applyAlignment="1">
      <alignment horizontal="left" vertical="center" wrapText="1"/>
    </xf>
    <xf numFmtId="49" fontId="31" fillId="0" borderId="55" xfId="0" applyNumberFormat="1" applyFont="1" applyBorder="1">
      <alignment vertical="center"/>
    </xf>
    <xf numFmtId="177" fontId="31" fillId="0" borderId="51" xfId="28" applyNumberFormat="1" applyFont="1" applyBorder="1" applyAlignment="1">
      <alignment horizontal="right" vertical="center" wrapText="1"/>
    </xf>
    <xf numFmtId="177" fontId="31" fillId="0" borderId="13" xfId="28" applyNumberFormat="1" applyFont="1" applyBorder="1" applyAlignment="1">
      <alignment horizontal="right" vertical="center" wrapText="1"/>
    </xf>
    <xf numFmtId="177" fontId="119" fillId="0" borderId="13" xfId="28" applyNumberFormat="1" applyFont="1" applyBorder="1" applyAlignment="1">
      <alignment vertical="center" wrapText="1"/>
    </xf>
    <xf numFmtId="0" fontId="31" fillId="0" borderId="40" xfId="0" applyFont="1" applyBorder="1">
      <alignment vertical="center"/>
    </xf>
    <xf numFmtId="49" fontId="31" fillId="0" borderId="40" xfId="0" applyNumberFormat="1" applyFont="1" applyBorder="1">
      <alignment vertical="center"/>
    </xf>
    <xf numFmtId="0" fontId="31" fillId="0" borderId="78" xfId="0" applyFont="1" applyBorder="1">
      <alignment vertical="center"/>
    </xf>
    <xf numFmtId="49" fontId="31" fillId="0" borderId="78" xfId="0" applyNumberFormat="1" applyFont="1" applyBorder="1">
      <alignment vertical="center"/>
    </xf>
    <xf numFmtId="177" fontId="31" fillId="0" borderId="75" xfId="28" applyNumberFormat="1" applyFont="1" applyBorder="1" applyAlignment="1">
      <alignment vertical="center" wrapText="1"/>
    </xf>
    <xf numFmtId="0" fontId="74" fillId="0" borderId="53" xfId="0" applyFont="1" applyBorder="1" applyAlignment="1">
      <alignment vertical="center" wrapText="1"/>
    </xf>
    <xf numFmtId="0" fontId="74" fillId="0" borderId="25" xfId="0" applyFont="1" applyBorder="1">
      <alignment vertical="center"/>
    </xf>
    <xf numFmtId="0" fontId="74" fillId="0" borderId="26" xfId="0" applyFont="1" applyBorder="1">
      <alignment vertical="center"/>
    </xf>
    <xf numFmtId="0" fontId="31" fillId="0" borderId="92" xfId="0" applyFont="1" applyBorder="1" applyAlignment="1">
      <alignment horizontal="left" vertical="center" wrapText="1"/>
    </xf>
    <xf numFmtId="0" fontId="31" fillId="0" borderId="44" xfId="0" applyFont="1" applyBorder="1" applyAlignment="1">
      <alignment horizontal="left" vertical="center" wrapText="1"/>
    </xf>
    <xf numFmtId="0" fontId="31" fillId="0" borderId="38" xfId="0" applyFont="1" applyBorder="1" applyAlignment="1">
      <alignment horizontal="left" vertical="center" wrapText="1"/>
    </xf>
    <xf numFmtId="0" fontId="31" fillId="0" borderId="133" xfId="0" applyFont="1" applyBorder="1" applyAlignment="1">
      <alignment horizontal="left" vertical="center" wrapText="1"/>
    </xf>
    <xf numFmtId="0" fontId="31" fillId="0" borderId="134" xfId="43" applyFont="1" applyBorder="1" applyAlignment="1">
      <alignment horizontal="left" vertical="center" wrapText="1"/>
    </xf>
    <xf numFmtId="0" fontId="31" fillId="0" borderId="44" xfId="43" applyFont="1" applyBorder="1" applyAlignment="1">
      <alignment horizontal="left" vertical="center" wrapText="1"/>
    </xf>
    <xf numFmtId="0" fontId="32" fillId="0" borderId="133" xfId="0" applyFont="1" applyBorder="1">
      <alignment vertical="center"/>
    </xf>
    <xf numFmtId="0" fontId="32" fillId="0" borderId="38" xfId="0" applyFont="1" applyBorder="1">
      <alignment vertical="center"/>
    </xf>
    <xf numFmtId="177" fontId="31" fillId="0" borderId="57" xfId="28" applyNumberFormat="1" applyFont="1" applyBorder="1" applyAlignment="1">
      <alignment vertical="center" wrapText="1"/>
    </xf>
    <xf numFmtId="0" fontId="32" fillId="0" borderId="44" xfId="0" applyFont="1" applyBorder="1">
      <alignment vertical="center"/>
    </xf>
    <xf numFmtId="0" fontId="31" fillId="0" borderId="0" xfId="28" applyNumberFormat="1" applyFont="1" applyFill="1" applyBorder="1" applyAlignment="1">
      <alignment horizontal="center" vertical="center" wrapText="1"/>
    </xf>
    <xf numFmtId="0" fontId="31" fillId="0" borderId="40" xfId="43" applyFont="1" applyBorder="1" applyAlignment="1">
      <alignment horizontal="center" vertical="center" wrapText="1"/>
    </xf>
    <xf numFmtId="0" fontId="31" fillId="0" borderId="73" xfId="43" applyFont="1" applyBorder="1" applyAlignment="1">
      <alignment horizontal="left" vertical="center" wrapText="1"/>
    </xf>
    <xf numFmtId="0" fontId="31" fillId="0" borderId="78" xfId="43" applyFont="1" applyBorder="1" applyAlignment="1">
      <alignment horizontal="left" vertical="center" wrapText="1"/>
    </xf>
    <xf numFmtId="177" fontId="31" fillId="0" borderId="18" xfId="50" applyNumberFormat="1" applyFont="1" applyFill="1" applyBorder="1" applyAlignment="1">
      <alignment vertical="center" wrapText="1"/>
    </xf>
    <xf numFmtId="177" fontId="31" fillId="0" borderId="47" xfId="50" applyNumberFormat="1" applyFont="1" applyFill="1" applyBorder="1" applyAlignment="1">
      <alignment vertical="center" wrapText="1"/>
    </xf>
    <xf numFmtId="0" fontId="31" fillId="0" borderId="54" xfId="43" applyFont="1" applyBorder="1" applyAlignment="1">
      <alignment horizontal="center" vertical="center" wrapText="1"/>
    </xf>
    <xf numFmtId="177" fontId="31" fillId="0" borderId="16" xfId="50" applyNumberFormat="1" applyFont="1" applyBorder="1" applyAlignment="1">
      <alignment vertical="center" wrapText="1"/>
    </xf>
    <xf numFmtId="177" fontId="31" fillId="0" borderId="12" xfId="50" applyNumberFormat="1" applyFont="1" applyBorder="1" applyAlignment="1">
      <alignment vertical="center" wrapText="1"/>
    </xf>
    <xf numFmtId="177" fontId="31" fillId="0" borderId="12" xfId="50" applyNumberFormat="1" applyFont="1" applyFill="1" applyBorder="1" applyAlignment="1">
      <alignment vertical="center" wrapText="1"/>
    </xf>
    <xf numFmtId="177" fontId="31" fillId="0" borderId="16" xfId="50" applyNumberFormat="1" applyFont="1" applyFill="1" applyBorder="1" applyAlignment="1">
      <alignment vertical="center" wrapText="1"/>
    </xf>
    <xf numFmtId="177" fontId="31" fillId="0" borderId="35" xfId="50" applyNumberFormat="1" applyFont="1" applyFill="1" applyBorder="1" applyAlignment="1">
      <alignment vertical="center" wrapText="1"/>
    </xf>
    <xf numFmtId="0" fontId="31" fillId="0" borderId="47" xfId="43" applyFont="1" applyBorder="1" applyAlignment="1">
      <alignment vertical="center"/>
    </xf>
    <xf numFmtId="0" fontId="31" fillId="0" borderId="20" xfId="43" applyFont="1" applyBorder="1" applyAlignment="1">
      <alignment vertical="center"/>
    </xf>
    <xf numFmtId="0" fontId="32" fillId="0" borderId="90" xfId="0" applyFont="1" applyBorder="1">
      <alignment vertical="center"/>
    </xf>
    <xf numFmtId="0" fontId="37" fillId="27" borderId="58" xfId="0" applyFont="1" applyFill="1" applyBorder="1" applyAlignment="1" applyProtection="1">
      <alignment horizontal="center" vertical="center"/>
      <protection locked="0"/>
    </xf>
    <xf numFmtId="0" fontId="37" fillId="27" borderId="59" xfId="0" applyFont="1" applyFill="1" applyBorder="1" applyAlignment="1" applyProtection="1">
      <alignment horizontal="center" vertical="center"/>
      <protection locked="0"/>
    </xf>
    <xf numFmtId="0" fontId="37" fillId="27" borderId="60" xfId="0" applyFont="1" applyFill="1" applyBorder="1" applyAlignment="1" applyProtection="1">
      <alignment horizontal="center" vertical="center"/>
      <protection locked="0"/>
    </xf>
    <xf numFmtId="176" fontId="118" fillId="0" borderId="72" xfId="0" applyNumberFormat="1" applyFont="1" applyBorder="1" applyAlignment="1" applyProtection="1">
      <alignment horizontal="center" vertical="center" wrapText="1" shrinkToFit="1"/>
      <protection locked="0"/>
    </xf>
    <xf numFmtId="0" fontId="41" fillId="24" borderId="43" xfId="0" applyFont="1" applyFill="1" applyBorder="1" applyAlignment="1">
      <alignment horizontal="center" vertical="center" wrapText="1"/>
    </xf>
    <xf numFmtId="0" fontId="41" fillId="24" borderId="10" xfId="0" applyFont="1" applyFill="1" applyBorder="1" applyAlignment="1">
      <alignment horizontal="center" vertical="center" wrapText="1"/>
    </xf>
    <xf numFmtId="38" fontId="38" fillId="0" borderId="11" xfId="34" applyFont="1" applyFill="1" applyBorder="1" applyAlignment="1" applyProtection="1">
      <alignment vertical="center" shrinkToFit="1"/>
    </xf>
    <xf numFmtId="0" fontId="31" fillId="0" borderId="0" xfId="0" applyFont="1" applyAlignment="1">
      <alignment horizontal="left" vertical="center"/>
    </xf>
    <xf numFmtId="0" fontId="66" fillId="0" borderId="0" xfId="0" applyFont="1">
      <alignment vertical="center"/>
    </xf>
    <xf numFmtId="0" fontId="63" fillId="24" borderId="0" xfId="0" applyFont="1" applyFill="1">
      <alignment vertical="center"/>
    </xf>
    <xf numFmtId="0" fontId="33" fillId="24" borderId="0" xfId="0" applyFont="1" applyFill="1">
      <alignment vertical="center"/>
    </xf>
    <xf numFmtId="0" fontId="38" fillId="24" borderId="0" xfId="0" applyFont="1" applyFill="1">
      <alignment vertical="center"/>
    </xf>
    <xf numFmtId="0" fontId="93" fillId="24" borderId="0" xfId="0" applyFont="1" applyFill="1">
      <alignment vertical="center"/>
    </xf>
    <xf numFmtId="0" fontId="93" fillId="24" borderId="0" xfId="0" applyFont="1" applyFill="1" applyAlignment="1">
      <alignment horizontal="center" vertical="center"/>
    </xf>
    <xf numFmtId="0" fontId="37" fillId="24" borderId="0" xfId="0" applyFont="1" applyFill="1">
      <alignment vertical="center"/>
    </xf>
    <xf numFmtId="0" fontId="43" fillId="24" borderId="0" xfId="0" applyFont="1" applyFill="1" applyAlignment="1"/>
    <xf numFmtId="0" fontId="45" fillId="24" borderId="0" xfId="0" applyFont="1" applyFill="1">
      <alignment vertical="center"/>
    </xf>
    <xf numFmtId="0" fontId="44" fillId="0" borderId="13" xfId="0" applyFont="1" applyBorder="1">
      <alignment vertical="center"/>
    </xf>
    <xf numFmtId="0" fontId="44" fillId="24" borderId="93" xfId="0" applyFont="1" applyFill="1" applyBorder="1">
      <alignment vertical="center"/>
    </xf>
    <xf numFmtId="0" fontId="44" fillId="24" borderId="87" xfId="0" applyFont="1" applyFill="1" applyBorder="1">
      <alignment vertical="center"/>
    </xf>
    <xf numFmtId="49" fontId="37" fillId="24" borderId="0" xfId="0" applyNumberFormat="1" applyFont="1" applyFill="1" applyAlignment="1">
      <alignment horizontal="left" vertical="center"/>
    </xf>
    <xf numFmtId="49" fontId="43" fillId="24" borderId="0" xfId="0" applyNumberFormat="1" applyFont="1" applyFill="1" applyAlignment="1">
      <alignment horizontal="left" vertical="center"/>
    </xf>
    <xf numFmtId="0" fontId="49" fillId="24" borderId="14" xfId="0" applyFont="1" applyFill="1" applyBorder="1" applyAlignment="1">
      <alignment horizontal="center" vertical="center"/>
    </xf>
    <xf numFmtId="0" fontId="49" fillId="0" borderId="95" xfId="0" applyFont="1" applyBorder="1">
      <alignment vertical="center"/>
    </xf>
    <xf numFmtId="0" fontId="49" fillId="24" borderId="12" xfId="0" applyFont="1" applyFill="1" applyBorder="1" applyAlignment="1">
      <alignment horizontal="center" vertical="center"/>
    </xf>
    <xf numFmtId="0" fontId="49" fillId="0" borderId="41" xfId="0" applyFont="1" applyBorder="1">
      <alignment vertical="center"/>
    </xf>
    <xf numFmtId="0" fontId="40" fillId="25" borderId="53" xfId="0" applyFont="1" applyFill="1" applyBorder="1" applyAlignment="1">
      <alignment horizontal="center" vertical="center"/>
    </xf>
    <xf numFmtId="0" fontId="40" fillId="0" borderId="0" xfId="0" applyFont="1" applyAlignment="1">
      <alignment horizontal="center" vertical="center"/>
    </xf>
    <xf numFmtId="182" fontId="0" fillId="24" borderId="0" xfId="0" applyNumberFormat="1" applyFill="1">
      <alignment vertical="center"/>
    </xf>
    <xf numFmtId="0" fontId="49" fillId="24" borderId="0" xfId="0" applyFont="1" applyFill="1">
      <alignment vertical="center"/>
    </xf>
    <xf numFmtId="0" fontId="33" fillId="0" borderId="0" xfId="0" applyFont="1">
      <alignment vertical="center"/>
    </xf>
    <xf numFmtId="0" fontId="30" fillId="24" borderId="0" xfId="0" applyFont="1" applyFill="1">
      <alignment vertical="center"/>
    </xf>
    <xf numFmtId="0" fontId="30" fillId="24" borderId="0" xfId="0" applyFont="1" applyFill="1" applyAlignment="1">
      <alignment horizontal="center" vertical="top"/>
    </xf>
    <xf numFmtId="0" fontId="39" fillId="24" borderId="0" xfId="0" applyFont="1" applyFill="1" applyAlignment="1">
      <alignment vertical="center" wrapText="1"/>
    </xf>
    <xf numFmtId="0" fontId="39" fillId="24" borderId="0" xfId="0" applyFont="1" applyFill="1" applyAlignment="1">
      <alignment horizontal="left" vertical="center"/>
    </xf>
    <xf numFmtId="0" fontId="44" fillId="24" borderId="0" xfId="0" applyFont="1" applyFill="1" applyAlignment="1">
      <alignment horizontal="center" vertical="center"/>
    </xf>
    <xf numFmtId="0" fontId="39" fillId="24" borderId="0" xfId="0" applyFont="1" applyFill="1" applyAlignment="1">
      <alignment horizontal="center" vertical="center"/>
    </xf>
    <xf numFmtId="0" fontId="48" fillId="24" borderId="0" xfId="0" applyFont="1" applyFill="1">
      <alignment vertical="center"/>
    </xf>
    <xf numFmtId="0" fontId="49" fillId="24" borderId="29" xfId="0" applyFont="1" applyFill="1" applyBorder="1">
      <alignment vertical="center"/>
    </xf>
    <xf numFmtId="0" fontId="49" fillId="0" borderId="29" xfId="0" applyFont="1" applyBorder="1">
      <alignment vertical="center"/>
    </xf>
    <xf numFmtId="0" fontId="43" fillId="25" borderId="53" xfId="0" applyFont="1" applyFill="1" applyBorder="1" applyAlignment="1">
      <alignment horizontal="center" vertical="center" wrapText="1"/>
    </xf>
    <xf numFmtId="0" fontId="30" fillId="0" borderId="12" xfId="0" applyFont="1" applyBorder="1" applyAlignment="1">
      <alignment horizontal="center" vertical="center"/>
    </xf>
    <xf numFmtId="0" fontId="49" fillId="0" borderId="96" xfId="0" applyFont="1" applyBorder="1">
      <alignment vertical="center"/>
    </xf>
    <xf numFmtId="0" fontId="44" fillId="24" borderId="0" xfId="0" applyFont="1" applyFill="1">
      <alignment vertical="center"/>
    </xf>
    <xf numFmtId="0" fontId="30" fillId="24" borderId="81" xfId="0" applyFont="1" applyFill="1" applyBorder="1" applyAlignment="1">
      <alignment vertical="center" wrapText="1"/>
    </xf>
    <xf numFmtId="0" fontId="30" fillId="24" borderId="0" xfId="0" applyFont="1" applyFill="1" applyAlignment="1">
      <alignment vertical="center" wrapText="1"/>
    </xf>
    <xf numFmtId="0" fontId="49" fillId="0" borderId="11" xfId="0" applyFont="1" applyBorder="1">
      <alignment vertical="center"/>
    </xf>
    <xf numFmtId="49" fontId="47" fillId="24" borderId="0" xfId="0" applyNumberFormat="1" applyFont="1" applyFill="1">
      <alignment vertical="center"/>
    </xf>
    <xf numFmtId="0" fontId="41" fillId="24" borderId="0" xfId="0" applyFont="1" applyFill="1">
      <alignment vertical="center"/>
    </xf>
    <xf numFmtId="0" fontId="95" fillId="24" borderId="0" xfId="0" applyFont="1" applyFill="1" applyAlignment="1">
      <alignment horizontal="center" vertical="top" wrapText="1"/>
    </xf>
    <xf numFmtId="0" fontId="41" fillId="24" borderId="0" xfId="0" applyFont="1" applyFill="1" applyAlignment="1">
      <alignment vertical="center" wrapText="1"/>
    </xf>
    <xf numFmtId="0" fontId="65" fillId="0" borderId="0" xfId="0" applyFont="1">
      <alignment vertical="center"/>
    </xf>
    <xf numFmtId="0" fontId="35" fillId="24" borderId="0" xfId="0" applyFont="1" applyFill="1">
      <alignment vertical="center"/>
    </xf>
    <xf numFmtId="0" fontId="40" fillId="24" borderId="0" xfId="0" applyFont="1" applyFill="1" applyAlignment="1">
      <alignment vertical="center" wrapText="1"/>
    </xf>
    <xf numFmtId="0" fontId="50" fillId="24" borderId="0" xfId="0" applyFont="1" applyFill="1" applyAlignment="1">
      <alignment vertical="center" wrapText="1"/>
    </xf>
    <xf numFmtId="0" fontId="49" fillId="24" borderId="0" xfId="0" applyFont="1" applyFill="1" applyAlignment="1">
      <alignment vertical="center" wrapText="1"/>
    </xf>
    <xf numFmtId="49" fontId="96" fillId="0" borderId="0" xfId="0" applyNumberFormat="1" applyFont="1" applyAlignment="1">
      <alignment horizontal="center" vertical="center" wrapText="1"/>
    </xf>
    <xf numFmtId="0" fontId="51" fillId="24" borderId="0" xfId="0" applyFont="1" applyFill="1">
      <alignment vertical="center"/>
    </xf>
    <xf numFmtId="0" fontId="41" fillId="24" borderId="0" xfId="0" applyFont="1" applyFill="1" applyAlignment="1">
      <alignment horizontal="left" vertical="top" wrapText="1"/>
    </xf>
    <xf numFmtId="0" fontId="49" fillId="0" borderId="0" xfId="0" applyFont="1">
      <alignment vertical="center"/>
    </xf>
    <xf numFmtId="0" fontId="51" fillId="0" borderId="0" xfId="0" applyFont="1">
      <alignment vertical="center"/>
    </xf>
    <xf numFmtId="0" fontId="41" fillId="0" borderId="0" xfId="0" applyFont="1" applyAlignment="1">
      <alignment horizontal="left" vertical="top" wrapText="1"/>
    </xf>
    <xf numFmtId="0" fontId="98" fillId="24" borderId="0" xfId="0" applyFont="1" applyFill="1">
      <alignment vertical="center"/>
    </xf>
    <xf numFmtId="0" fontId="39" fillId="24" borderId="74" xfId="0" applyFont="1" applyFill="1" applyBorder="1">
      <alignment vertical="center"/>
    </xf>
    <xf numFmtId="0" fontId="45" fillId="0" borderId="30" xfId="0" applyFont="1" applyBorder="1">
      <alignment vertical="center"/>
    </xf>
    <xf numFmtId="0" fontId="45" fillId="24" borderId="30" xfId="0" applyFont="1" applyFill="1" applyBorder="1">
      <alignment vertical="center"/>
    </xf>
    <xf numFmtId="0" fontId="41" fillId="24" borderId="30" xfId="0" applyFont="1" applyFill="1" applyBorder="1">
      <alignment vertical="center"/>
    </xf>
    <xf numFmtId="0" fontId="41" fillId="24" borderId="30" xfId="0" applyFont="1" applyFill="1" applyBorder="1" applyAlignment="1">
      <alignment vertical="center" wrapText="1"/>
    </xf>
    <xf numFmtId="0" fontId="44" fillId="24" borderId="77" xfId="0" applyFont="1" applyFill="1" applyBorder="1" applyAlignment="1">
      <alignment horizontal="center" vertical="center"/>
    </xf>
    <xf numFmtId="0" fontId="39" fillId="24" borderId="81" xfId="0" applyFont="1" applyFill="1" applyBorder="1">
      <alignment vertical="center"/>
    </xf>
    <xf numFmtId="0" fontId="41" fillId="0" borderId="0" xfId="0" applyFont="1">
      <alignment vertical="center"/>
    </xf>
    <xf numFmtId="0" fontId="44" fillId="0" borderId="0" xfId="0" applyFont="1">
      <alignment vertical="center"/>
    </xf>
    <xf numFmtId="0" fontId="44" fillId="24" borderId="91" xfId="0" applyFont="1" applyFill="1" applyBorder="1" applyAlignment="1">
      <alignment horizontal="center" vertical="center"/>
    </xf>
    <xf numFmtId="176" fontId="30" fillId="24" borderId="0" xfId="0" applyNumberFormat="1" applyFont="1" applyFill="1">
      <alignment vertical="center"/>
    </xf>
    <xf numFmtId="183" fontId="30" fillId="24" borderId="0" xfId="0" applyNumberFormat="1" applyFont="1" applyFill="1">
      <alignment vertical="center"/>
    </xf>
    <xf numFmtId="0" fontId="46" fillId="24" borderId="0" xfId="0" applyFont="1" applyFill="1">
      <alignment vertical="center"/>
    </xf>
    <xf numFmtId="0" fontId="39" fillId="24" borderId="0" xfId="0" applyFont="1" applyFill="1" applyAlignment="1">
      <alignment vertical="top"/>
    </xf>
    <xf numFmtId="0" fontId="39" fillId="24" borderId="78" xfId="0" applyFont="1" applyFill="1" applyBorder="1">
      <alignment vertical="center"/>
    </xf>
    <xf numFmtId="0" fontId="41" fillId="24" borderId="79" xfId="0" applyFont="1" applyFill="1" applyBorder="1">
      <alignment vertical="center"/>
    </xf>
    <xf numFmtId="0" fontId="39" fillId="24" borderId="79" xfId="0" applyFont="1" applyFill="1" applyBorder="1" applyAlignment="1">
      <alignment vertical="top"/>
    </xf>
    <xf numFmtId="0" fontId="39" fillId="24" borderId="79" xfId="0" applyFont="1" applyFill="1" applyBorder="1" applyAlignment="1">
      <alignment vertical="center" shrinkToFit="1"/>
    </xf>
    <xf numFmtId="0" fontId="39" fillId="24" borderId="92" xfId="0" applyFont="1" applyFill="1" applyBorder="1">
      <alignment vertical="center"/>
    </xf>
    <xf numFmtId="0" fontId="45" fillId="0" borderId="102" xfId="0" applyFont="1" applyBorder="1">
      <alignment vertical="center"/>
    </xf>
    <xf numFmtId="0" fontId="30" fillId="24" borderId="0" xfId="0" applyFont="1" applyFill="1" applyAlignment="1">
      <alignment horizontal="left" vertical="top" wrapText="1"/>
    </xf>
    <xf numFmtId="0" fontId="30" fillId="24" borderId="0" xfId="0" applyFont="1" applyFill="1" applyAlignment="1">
      <alignment horizontal="left" vertical="top"/>
    </xf>
    <xf numFmtId="0" fontId="40" fillId="25" borderId="53" xfId="0" applyFont="1" applyFill="1" applyBorder="1" applyAlignment="1">
      <alignment horizontal="center" vertical="center" wrapText="1"/>
    </xf>
    <xf numFmtId="0" fontId="41" fillId="24" borderId="0" xfId="0" applyFont="1" applyFill="1" applyAlignment="1">
      <alignment horizontal="center" vertical="center"/>
    </xf>
    <xf numFmtId="0" fontId="41" fillId="24" borderId="0" xfId="0" applyFont="1" applyFill="1" applyAlignment="1">
      <alignment horizontal="left" vertical="center"/>
    </xf>
    <xf numFmtId="0" fontId="99" fillId="24" borderId="0" xfId="0" applyFont="1" applyFill="1">
      <alignment vertical="center"/>
    </xf>
    <xf numFmtId="0" fontId="40" fillId="24" borderId="0" xfId="0" applyFont="1" applyFill="1" applyAlignment="1">
      <alignment horizontal="left" vertical="center" wrapText="1"/>
    </xf>
    <xf numFmtId="0" fontId="43" fillId="25" borderId="53" xfId="0" applyFont="1" applyFill="1" applyBorder="1" applyAlignment="1">
      <alignment horizontal="center" vertical="center"/>
    </xf>
    <xf numFmtId="49" fontId="39" fillId="24" borderId="0" xfId="0" applyNumberFormat="1" applyFont="1" applyFill="1" applyAlignment="1">
      <alignment horizontal="left" vertical="center" wrapText="1"/>
    </xf>
    <xf numFmtId="0" fontId="43" fillId="24" borderId="0" xfId="0" applyFont="1" applyFill="1" applyAlignment="1">
      <alignment horizontal="center" vertical="center"/>
    </xf>
    <xf numFmtId="49" fontId="41" fillId="24" borderId="0" xfId="0" applyNumberFormat="1" applyFont="1" applyFill="1" applyAlignment="1">
      <alignment horizontal="center" vertical="top"/>
    </xf>
    <xf numFmtId="0" fontId="43" fillId="28" borderId="0" xfId="0" applyFont="1" applyFill="1" applyAlignment="1">
      <alignment horizontal="center" vertical="center"/>
    </xf>
    <xf numFmtId="0" fontId="124" fillId="24" borderId="0" xfId="0" applyFont="1" applyFill="1">
      <alignment vertical="center"/>
    </xf>
    <xf numFmtId="49" fontId="121" fillId="24" borderId="0" xfId="0" applyNumberFormat="1" applyFont="1" applyFill="1">
      <alignment vertical="center"/>
    </xf>
    <xf numFmtId="0" fontId="30" fillId="24" borderId="0" xfId="0" applyFont="1" applyFill="1" applyAlignment="1">
      <alignment horizontal="left" vertical="center"/>
    </xf>
    <xf numFmtId="49" fontId="39" fillId="24" borderId="17" xfId="0" applyNumberFormat="1" applyFont="1" applyFill="1" applyBorder="1" applyAlignment="1">
      <alignment horizontal="left" vertical="center" wrapText="1"/>
    </xf>
    <xf numFmtId="0" fontId="40" fillId="0" borderId="0" xfId="0" applyFont="1" applyAlignment="1">
      <alignment vertical="center" wrapText="1"/>
    </xf>
    <xf numFmtId="0" fontId="40" fillId="0" borderId="0" xfId="0" applyFont="1" applyAlignment="1">
      <alignment horizontal="left" vertical="center" wrapText="1"/>
    </xf>
    <xf numFmtId="0" fontId="40" fillId="24" borderId="79" xfId="0" applyFont="1" applyFill="1" applyBorder="1" applyAlignment="1">
      <alignment horizontal="left" vertical="center" wrapText="1"/>
    </xf>
    <xf numFmtId="0" fontId="40" fillId="24" borderId="30" xfId="0" applyFont="1" applyFill="1" applyBorder="1" applyAlignment="1">
      <alignment horizontal="left" vertical="center" wrapText="1"/>
    </xf>
    <xf numFmtId="0" fontId="45" fillId="24" borderId="0" xfId="0" applyFont="1" applyFill="1" applyAlignment="1">
      <alignment vertical="top"/>
    </xf>
    <xf numFmtId="0" fontId="44" fillId="24" borderId="0" xfId="0" applyFont="1" applyFill="1" applyAlignment="1">
      <alignment horizontal="left" vertical="center" wrapText="1"/>
    </xf>
    <xf numFmtId="0" fontId="100" fillId="24" borderId="0" xfId="0" applyFont="1" applyFill="1" applyAlignment="1">
      <alignment horizontal="center" vertical="center"/>
    </xf>
    <xf numFmtId="0" fontId="47" fillId="24" borderId="0" xfId="0" applyFont="1" applyFill="1" applyAlignment="1">
      <alignment horizontal="left" vertical="center"/>
    </xf>
    <xf numFmtId="0" fontId="51" fillId="24" borderId="0" xfId="0" applyFont="1" applyFill="1" applyAlignment="1">
      <alignment horizontal="left" vertical="center"/>
    </xf>
    <xf numFmtId="0" fontId="101" fillId="24" borderId="0" xfId="0" applyFont="1" applyFill="1">
      <alignment vertical="center"/>
    </xf>
    <xf numFmtId="0" fontId="35" fillId="24" borderId="0" xfId="0" applyFont="1" applyFill="1" applyAlignment="1">
      <alignment vertical="top"/>
    </xf>
    <xf numFmtId="49" fontId="39" fillId="24" borderId="0" xfId="0" applyNumberFormat="1" applyFont="1" applyFill="1" applyAlignment="1">
      <alignment horizontal="center" vertical="center"/>
    </xf>
    <xf numFmtId="0" fontId="40" fillId="25" borderId="57" xfId="0" applyFont="1" applyFill="1" applyBorder="1" applyAlignment="1">
      <alignment horizontal="center" vertical="center"/>
    </xf>
    <xf numFmtId="49" fontId="33" fillId="24" borderId="0" xfId="0" applyNumberFormat="1" applyFont="1" applyFill="1">
      <alignment vertical="center"/>
    </xf>
    <xf numFmtId="0" fontId="43" fillId="0" borderId="0" xfId="0" applyFont="1">
      <alignment vertical="center"/>
    </xf>
    <xf numFmtId="0" fontId="43" fillId="24" borderId="0" xfId="0" applyFont="1" applyFill="1">
      <alignment vertical="center"/>
    </xf>
    <xf numFmtId="0" fontId="45" fillId="24" borderId="0" xfId="0" applyFont="1" applyFill="1" applyAlignment="1">
      <alignment horizontal="left" vertical="center"/>
    </xf>
    <xf numFmtId="0" fontId="49" fillId="24" borderId="0" xfId="0" applyFont="1" applyFill="1" applyAlignment="1">
      <alignment horizontal="left" vertical="center"/>
    </xf>
    <xf numFmtId="0" fontId="43" fillId="24" borderId="0" xfId="0" applyFont="1" applyFill="1" applyAlignment="1">
      <alignment horizontal="center" vertical="center" wrapText="1"/>
    </xf>
    <xf numFmtId="0" fontId="48" fillId="0" borderId="0" xfId="0" applyFont="1">
      <alignment vertical="center"/>
    </xf>
    <xf numFmtId="0" fontId="97" fillId="0" borderId="0" xfId="0" applyFont="1" applyAlignment="1">
      <alignment horizontal="center" vertical="center"/>
    </xf>
    <xf numFmtId="0" fontId="39" fillId="24" borderId="0" xfId="0" applyFont="1" applyFill="1">
      <alignment vertical="center"/>
    </xf>
    <xf numFmtId="0" fontId="52" fillId="24" borderId="0" xfId="0" applyFont="1" applyFill="1" applyAlignment="1">
      <alignment vertical="center" wrapText="1"/>
    </xf>
    <xf numFmtId="0" fontId="39" fillId="26" borderId="14" xfId="0" applyFont="1" applyFill="1" applyBorder="1" applyAlignment="1">
      <alignment horizontal="left" vertical="center"/>
    </xf>
    <xf numFmtId="0" fontId="39" fillId="26" borderId="93" xfId="0" applyFont="1" applyFill="1" applyBorder="1" applyAlignment="1">
      <alignment horizontal="center" vertical="center"/>
    </xf>
    <xf numFmtId="0" fontId="39" fillId="26" borderId="87" xfId="0" applyFont="1" applyFill="1" applyBorder="1" applyAlignment="1">
      <alignment horizontal="center" vertical="center"/>
    </xf>
    <xf numFmtId="0" fontId="45" fillId="0" borderId="112" xfId="0" applyFont="1" applyBorder="1">
      <alignment vertical="center"/>
    </xf>
    <xf numFmtId="0" fontId="45" fillId="0" borderId="113" xfId="0" applyFont="1" applyBorder="1">
      <alignment vertical="center"/>
    </xf>
    <xf numFmtId="0" fontId="50" fillId="24" borderId="0" xfId="0" applyFont="1" applyFill="1">
      <alignment vertical="center"/>
    </xf>
    <xf numFmtId="0" fontId="49" fillId="24" borderId="0" xfId="0" applyFont="1" applyFill="1" applyAlignment="1">
      <alignment horizontal="center" vertical="top"/>
    </xf>
    <xf numFmtId="0" fontId="39" fillId="24" borderId="0" xfId="0" applyFont="1" applyFill="1" applyAlignment="1">
      <alignment horizontal="left" vertical="top"/>
    </xf>
    <xf numFmtId="0" fontId="39" fillId="24" borderId="0" xfId="0" applyFont="1" applyFill="1" applyAlignment="1">
      <alignment horizontal="left" vertical="top" wrapText="1"/>
    </xf>
    <xf numFmtId="0" fontId="41" fillId="24" borderId="0" xfId="0" applyFont="1" applyFill="1" applyAlignment="1">
      <alignment horizontal="right" vertical="top" wrapText="1"/>
    </xf>
    <xf numFmtId="0" fontId="41" fillId="24" borderId="0" xfId="0" applyFont="1" applyFill="1" applyAlignment="1">
      <alignment horizontal="left" vertical="center" wrapText="1"/>
    </xf>
    <xf numFmtId="0" fontId="52" fillId="24" borderId="74" xfId="0" applyFont="1" applyFill="1" applyBorder="1" applyAlignment="1">
      <alignment vertical="center" wrapText="1"/>
    </xf>
    <xf numFmtId="0" fontId="52" fillId="24" borderId="30" xfId="0" applyFont="1" applyFill="1" applyBorder="1" applyAlignment="1">
      <alignment vertical="center" wrapText="1"/>
    </xf>
    <xf numFmtId="0" fontId="52" fillId="24" borderId="77" xfId="0" applyFont="1" applyFill="1" applyBorder="1" applyAlignment="1">
      <alignment vertical="center" wrapText="1"/>
    </xf>
    <xf numFmtId="0" fontId="52" fillId="24" borderId="81" xfId="0" applyFont="1" applyFill="1" applyBorder="1" applyAlignment="1">
      <alignment vertical="center" wrapText="1"/>
    </xf>
    <xf numFmtId="0" fontId="52" fillId="24" borderId="91" xfId="0" applyFont="1" applyFill="1" applyBorder="1" applyAlignment="1">
      <alignment vertical="center" wrapText="1"/>
    </xf>
    <xf numFmtId="0" fontId="52" fillId="24" borderId="81" xfId="0" applyFont="1" applyFill="1" applyBorder="1">
      <alignment vertical="center"/>
    </xf>
    <xf numFmtId="0" fontId="52" fillId="24" borderId="0" xfId="0" applyFont="1" applyFill="1">
      <alignment vertical="center"/>
    </xf>
    <xf numFmtId="0" fontId="52" fillId="24" borderId="0" xfId="0" applyFont="1" applyFill="1" applyAlignment="1">
      <alignment vertical="center" shrinkToFit="1"/>
    </xf>
    <xf numFmtId="0" fontId="52" fillId="24" borderId="91" xfId="0" applyFont="1" applyFill="1" applyBorder="1" applyAlignment="1">
      <alignment vertical="center" shrinkToFit="1"/>
    </xf>
    <xf numFmtId="0" fontId="53" fillId="24" borderId="0" xfId="0" applyFont="1" applyFill="1">
      <alignment vertical="center"/>
    </xf>
    <xf numFmtId="0" fontId="54" fillId="24" borderId="0" xfId="0" applyFont="1" applyFill="1">
      <alignment vertical="center"/>
    </xf>
    <xf numFmtId="0" fontId="54" fillId="24" borderId="91" xfId="0" applyFont="1" applyFill="1" applyBorder="1">
      <alignment vertical="center"/>
    </xf>
    <xf numFmtId="0" fontId="55" fillId="24" borderId="78" xfId="0" applyFont="1" applyFill="1" applyBorder="1">
      <alignment vertical="center"/>
    </xf>
    <xf numFmtId="0" fontId="53" fillId="24" borderId="79" xfId="0" applyFont="1" applyFill="1" applyBorder="1">
      <alignment vertical="center"/>
    </xf>
    <xf numFmtId="0" fontId="55" fillId="24" borderId="79" xfId="0" applyFont="1" applyFill="1" applyBorder="1">
      <alignment vertical="center"/>
    </xf>
    <xf numFmtId="0" fontId="55" fillId="24" borderId="79" xfId="0" applyFont="1" applyFill="1" applyBorder="1" applyAlignment="1">
      <alignment horizontal="center" vertical="center"/>
    </xf>
    <xf numFmtId="0" fontId="64" fillId="24" borderId="79" xfId="0" applyFont="1" applyFill="1" applyBorder="1" applyAlignment="1">
      <alignment vertical="center" shrinkToFit="1"/>
    </xf>
    <xf numFmtId="0" fontId="53" fillId="24" borderId="79" xfId="0" applyFont="1" applyFill="1" applyBorder="1" applyAlignment="1">
      <alignment horizontal="center" vertical="center"/>
    </xf>
    <xf numFmtId="0" fontId="53" fillId="24" borderId="92" xfId="0" applyFont="1" applyFill="1" applyBorder="1">
      <alignment vertical="center"/>
    </xf>
    <xf numFmtId="0" fontId="55" fillId="24" borderId="0" xfId="0" applyFont="1" applyFill="1">
      <alignment vertical="center"/>
    </xf>
    <xf numFmtId="0" fontId="55" fillId="24" borderId="0" xfId="0" applyFont="1" applyFill="1" applyAlignment="1">
      <alignment horizontal="center" vertical="center"/>
    </xf>
    <xf numFmtId="0" fontId="64" fillId="24" borderId="0" xfId="0" applyFont="1" applyFill="1" applyAlignment="1">
      <alignment vertical="center" shrinkToFit="1"/>
    </xf>
    <xf numFmtId="0" fontId="53" fillId="24" borderId="0" xfId="0" applyFont="1" applyFill="1" applyAlignment="1">
      <alignment horizontal="center" vertical="center"/>
    </xf>
    <xf numFmtId="0" fontId="36" fillId="24" borderId="0" xfId="0" applyFont="1" applyFill="1">
      <alignment vertical="center"/>
    </xf>
    <xf numFmtId="0" fontId="50" fillId="25" borderId="10" xfId="0" applyFont="1" applyFill="1" applyBorder="1" applyAlignment="1">
      <alignment horizontal="center" vertical="center"/>
    </xf>
    <xf numFmtId="0" fontId="30" fillId="0" borderId="114" xfId="0" quotePrefix="1" applyFont="1" applyBorder="1">
      <alignment vertical="center"/>
    </xf>
    <xf numFmtId="0" fontId="102" fillId="24" borderId="0" xfId="0" applyFont="1" applyFill="1">
      <alignment vertical="center"/>
    </xf>
    <xf numFmtId="0" fontId="30" fillId="0" borderId="114" xfId="0" quotePrefix="1" applyFont="1" applyBorder="1" applyAlignment="1">
      <alignment horizontal="center" vertical="center"/>
    </xf>
    <xf numFmtId="0" fontId="30" fillId="0" borderId="120" xfId="0" quotePrefix="1" applyFont="1" applyBorder="1" applyAlignment="1">
      <alignment horizontal="center" vertical="center"/>
    </xf>
    <xf numFmtId="0" fontId="51" fillId="25" borderId="10" xfId="0" applyFont="1" applyFill="1" applyBorder="1" applyAlignment="1">
      <alignment horizontal="center" vertical="center"/>
    </xf>
    <xf numFmtId="0" fontId="0" fillId="0" borderId="119" xfId="0" applyBorder="1" applyAlignment="1">
      <alignment horizontal="center" vertical="center"/>
    </xf>
    <xf numFmtId="0" fontId="0" fillId="0" borderId="120" xfId="0" applyBorder="1" applyAlignment="1">
      <alignment horizontal="center" vertical="center"/>
    </xf>
    <xf numFmtId="0" fontId="43" fillId="28" borderId="53" xfId="0" applyFont="1" applyFill="1" applyBorder="1" applyAlignment="1" applyProtection="1">
      <alignment horizontal="center" vertical="center" wrapText="1"/>
      <protection locked="0"/>
    </xf>
    <xf numFmtId="0" fontId="40" fillId="28" borderId="142" xfId="0" applyFont="1" applyFill="1" applyBorder="1" applyAlignment="1" applyProtection="1">
      <alignment horizontal="center" vertical="center" wrapText="1"/>
      <protection locked="0"/>
    </xf>
    <xf numFmtId="0" fontId="41" fillId="28" borderId="58" xfId="0" applyFont="1" applyFill="1" applyBorder="1" applyAlignment="1" applyProtection="1">
      <alignment horizontal="center" vertical="center" wrapText="1"/>
      <protection locked="0"/>
    </xf>
    <xf numFmtId="0" fontId="41" fillId="28" borderId="76" xfId="0" applyFont="1" applyFill="1" applyBorder="1" applyAlignment="1" applyProtection="1">
      <alignment horizontal="center" vertical="center" wrapText="1"/>
      <protection locked="0"/>
    </xf>
    <xf numFmtId="0" fontId="105" fillId="24" borderId="0" xfId="0" applyFont="1" applyFill="1">
      <alignment vertical="center"/>
    </xf>
    <xf numFmtId="0" fontId="33" fillId="24" borderId="0" xfId="0" applyFont="1" applyFill="1" applyAlignment="1">
      <alignment vertical="center" shrinkToFit="1"/>
    </xf>
    <xf numFmtId="0" fontId="33" fillId="24" borderId="0" xfId="0" applyFont="1" applyFill="1" applyAlignment="1">
      <alignment horizontal="left" vertical="center"/>
    </xf>
    <xf numFmtId="0" fontId="42" fillId="24" borderId="0" xfId="0" applyFont="1" applyFill="1">
      <alignment vertical="center"/>
    </xf>
    <xf numFmtId="0" fontId="56" fillId="24" borderId="0" xfId="0" applyFont="1" applyFill="1" applyAlignment="1">
      <alignment vertical="center" shrinkToFit="1"/>
    </xf>
    <xf numFmtId="0" fontId="56" fillId="24" borderId="0" xfId="0" applyFont="1" applyFill="1">
      <alignment vertical="center"/>
    </xf>
    <xf numFmtId="0" fontId="106" fillId="24" borderId="0" xfId="0" applyFont="1" applyFill="1">
      <alignment vertical="center"/>
    </xf>
    <xf numFmtId="0" fontId="107" fillId="24" borderId="0" xfId="0" applyFont="1" applyFill="1">
      <alignment vertical="center"/>
    </xf>
    <xf numFmtId="0" fontId="107" fillId="24" borderId="0" xfId="0" applyFont="1" applyFill="1" applyAlignment="1">
      <alignment vertical="center" wrapText="1"/>
    </xf>
    <xf numFmtId="0" fontId="108" fillId="24" borderId="0" xfId="0" applyFont="1" applyFill="1" applyAlignment="1">
      <alignment vertical="center" wrapText="1"/>
    </xf>
    <xf numFmtId="0" fontId="37" fillId="24" borderId="53" xfId="0" applyFont="1" applyFill="1" applyBorder="1" applyAlignment="1">
      <alignment horizontal="center" vertical="center"/>
    </xf>
    <xf numFmtId="0" fontId="94" fillId="24" borderId="0" xfId="0" applyFont="1" applyFill="1">
      <alignment vertical="center"/>
    </xf>
    <xf numFmtId="0" fontId="111" fillId="24" borderId="0" xfId="0" applyFont="1" applyFill="1" applyAlignment="1">
      <alignment vertical="center" shrinkToFit="1"/>
    </xf>
    <xf numFmtId="0" fontId="111" fillId="24" borderId="0" xfId="0" applyFont="1" applyFill="1">
      <alignment vertical="center"/>
    </xf>
    <xf numFmtId="0" fontId="111" fillId="24" borderId="0" xfId="0" applyFont="1" applyFill="1" applyAlignment="1">
      <alignment horizontal="left" vertical="center"/>
    </xf>
    <xf numFmtId="0" fontId="92" fillId="24" borderId="0" xfId="0" applyFont="1" applyFill="1">
      <alignment vertical="center"/>
    </xf>
    <xf numFmtId="49" fontId="111" fillId="24" borderId="0" xfId="0" applyNumberFormat="1" applyFont="1" applyFill="1">
      <alignment vertical="center"/>
    </xf>
    <xf numFmtId="0" fontId="56" fillId="24" borderId="0" xfId="0" applyFont="1" applyFill="1" applyAlignment="1">
      <alignment vertical="center" wrapText="1"/>
    </xf>
    <xf numFmtId="0" fontId="0" fillId="24" borderId="0" xfId="0" applyFill="1" applyAlignment="1">
      <alignment vertical="center" wrapText="1"/>
    </xf>
    <xf numFmtId="0" fontId="0" fillId="24" borderId="0" xfId="0" applyFill="1" applyAlignment="1">
      <alignment horizontal="center" vertical="center"/>
    </xf>
    <xf numFmtId="0" fontId="56" fillId="24" borderId="0" xfId="0" applyFont="1" applyFill="1" applyAlignment="1">
      <alignment horizontal="right" vertical="center"/>
    </xf>
    <xf numFmtId="0" fontId="33" fillId="24" borderId="0" xfId="0" applyFont="1" applyFill="1" applyAlignment="1">
      <alignment horizontal="center" vertical="center"/>
    </xf>
    <xf numFmtId="49" fontId="33" fillId="24" borderId="0" xfId="0" applyNumberFormat="1" applyFont="1" applyFill="1" applyAlignment="1">
      <alignment horizontal="center" vertical="center"/>
    </xf>
    <xf numFmtId="0" fontId="42" fillId="24" borderId="0" xfId="0" applyFont="1" applyFill="1" applyAlignment="1">
      <alignment horizontal="center" vertical="center"/>
    </xf>
    <xf numFmtId="0" fontId="65" fillId="0" borderId="0" xfId="0" applyFont="1" applyAlignment="1">
      <alignment horizontal="center" vertical="center"/>
    </xf>
    <xf numFmtId="0" fontId="38" fillId="24" borderId="0" xfId="0" applyFont="1" applyFill="1" applyAlignment="1">
      <alignment horizontal="center" vertical="center"/>
    </xf>
    <xf numFmtId="0" fontId="38" fillId="24" borderId="0" xfId="0" applyFont="1" applyFill="1" applyAlignment="1">
      <alignment horizontal="center" vertical="center" shrinkToFit="1"/>
    </xf>
    <xf numFmtId="0" fontId="38" fillId="24" borderId="0" xfId="0" applyFont="1" applyFill="1" applyAlignment="1">
      <alignment horizontal="left" vertical="center" shrinkToFit="1"/>
    </xf>
    <xf numFmtId="0" fontId="38" fillId="24" borderId="0" xfId="0" applyFont="1" applyFill="1" applyAlignment="1">
      <alignment horizontal="left" vertical="center"/>
    </xf>
    <xf numFmtId="49" fontId="35" fillId="24" borderId="10" xfId="0" applyNumberFormat="1" applyFont="1" applyFill="1" applyBorder="1">
      <alignment vertical="center"/>
    </xf>
    <xf numFmtId="49" fontId="56" fillId="24" borderId="0" xfId="0" applyNumberFormat="1" applyFont="1" applyFill="1">
      <alignment vertical="center"/>
    </xf>
    <xf numFmtId="184" fontId="56" fillId="24" borderId="53" xfId="0" applyNumberFormat="1" applyFont="1" applyFill="1" applyBorder="1">
      <alignment vertical="center"/>
    </xf>
    <xf numFmtId="0" fontId="0" fillId="24" borderId="45" xfId="0" applyFill="1" applyBorder="1" applyAlignment="1">
      <alignment horizontal="left" vertical="center"/>
    </xf>
    <xf numFmtId="184" fontId="56" fillId="24" borderId="60" xfId="0" applyNumberFormat="1" applyFont="1" applyFill="1" applyBorder="1">
      <alignment vertical="center"/>
    </xf>
    <xf numFmtId="49" fontId="35" fillId="24" borderId="0" xfId="0" applyNumberFormat="1" applyFont="1" applyFill="1">
      <alignment vertical="center"/>
    </xf>
    <xf numFmtId="0" fontId="0" fillId="24" borderId="0" xfId="0" applyFill="1" applyAlignment="1">
      <alignment vertical="center" shrinkToFit="1"/>
    </xf>
    <xf numFmtId="0" fontId="0" fillId="24" borderId="0" xfId="0" applyFill="1" applyAlignment="1">
      <alignment horizontal="left" vertical="center"/>
    </xf>
    <xf numFmtId="49" fontId="0" fillId="24" borderId="0" xfId="0" applyNumberFormat="1" applyFill="1">
      <alignment vertical="center"/>
    </xf>
    <xf numFmtId="0" fontId="113" fillId="24" borderId="0" xfId="0" applyFont="1" applyFill="1" applyAlignment="1">
      <alignment horizontal="center" vertical="center" shrinkToFit="1"/>
    </xf>
    <xf numFmtId="0" fontId="114" fillId="0" borderId="0" xfId="0" applyFont="1" applyAlignment="1">
      <alignment horizontal="center" vertical="center" wrapText="1" shrinkToFit="1"/>
    </xf>
    <xf numFmtId="0" fontId="113" fillId="24" borderId="0" xfId="0" applyFont="1" applyFill="1">
      <alignment vertical="center"/>
    </xf>
    <xf numFmtId="0" fontId="114" fillId="25" borderId="53" xfId="0" applyFont="1" applyFill="1" applyBorder="1" applyAlignment="1">
      <alignment horizontal="center" vertical="center" wrapText="1" shrinkToFit="1"/>
    </xf>
    <xf numFmtId="0" fontId="114" fillId="25" borderId="53" xfId="0" applyFont="1" applyFill="1" applyBorder="1" applyAlignment="1">
      <alignment horizontal="center" vertical="center" wrapText="1"/>
    </xf>
    <xf numFmtId="0" fontId="42" fillId="24" borderId="54" xfId="0" applyFont="1" applyFill="1" applyBorder="1" applyAlignment="1">
      <alignment horizontal="center" vertical="center" wrapText="1"/>
    </xf>
    <xf numFmtId="0" fontId="56" fillId="0" borderId="54" xfId="0" applyFont="1" applyBorder="1" applyAlignment="1">
      <alignment horizontal="center" vertical="center" wrapText="1"/>
    </xf>
    <xf numFmtId="0" fontId="56" fillId="0" borderId="85" xfId="0" applyFont="1" applyBorder="1" applyAlignment="1">
      <alignment horizontal="center" vertical="center" wrapText="1"/>
    </xf>
    <xf numFmtId="0" fontId="42" fillId="24" borderId="13" xfId="0" applyFont="1" applyFill="1" applyBorder="1" applyAlignment="1">
      <alignment horizontal="center" vertical="center" wrapText="1" shrinkToFit="1"/>
    </xf>
    <xf numFmtId="0" fontId="56" fillId="0" borderId="28" xfId="0" applyFont="1" applyBorder="1" applyAlignment="1">
      <alignment horizontal="center" vertical="center" wrapText="1"/>
    </xf>
    <xf numFmtId="0" fontId="56" fillId="0" borderId="24" xfId="0" applyFont="1" applyBorder="1" applyAlignment="1">
      <alignment horizontal="center" vertical="center" wrapText="1"/>
    </xf>
    <xf numFmtId="0" fontId="56" fillId="0" borderId="32" xfId="0" applyFont="1" applyBorder="1" applyAlignment="1">
      <alignment horizontal="center" vertical="center" wrapText="1"/>
    </xf>
    <xf numFmtId="0" fontId="56" fillId="0" borderId="35" xfId="0" applyFont="1" applyBorder="1" applyAlignment="1">
      <alignment horizontal="center" vertical="center" wrapText="1"/>
    </xf>
    <xf numFmtId="0" fontId="56" fillId="0" borderId="65" xfId="0" applyFont="1" applyBorder="1" applyAlignment="1">
      <alignment horizontal="center" vertical="center" wrapText="1"/>
    </xf>
    <xf numFmtId="0" fontId="56" fillId="24" borderId="65" xfId="0" applyFont="1" applyFill="1" applyBorder="1" applyAlignment="1">
      <alignment horizontal="center" vertical="center" wrapText="1"/>
    </xf>
    <xf numFmtId="0" fontId="56" fillId="24" borderId="23" xfId="0" applyFont="1" applyFill="1" applyBorder="1" applyAlignment="1">
      <alignment horizontal="center" vertical="center" wrapText="1"/>
    </xf>
    <xf numFmtId="0" fontId="38" fillId="0" borderId="40" xfId="0" applyFont="1" applyBorder="1" applyAlignment="1">
      <alignment vertical="center" wrapText="1"/>
    </xf>
    <xf numFmtId="0" fontId="33" fillId="0" borderId="43" xfId="0" applyFont="1" applyBorder="1" applyAlignment="1">
      <alignment vertical="center" wrapText="1"/>
    </xf>
    <xf numFmtId="0" fontId="38" fillId="24" borderId="66" xfId="0" applyFont="1" applyFill="1" applyBorder="1">
      <alignment vertical="center"/>
    </xf>
    <xf numFmtId="0" fontId="38" fillId="24" borderId="30" xfId="0" applyFont="1" applyFill="1" applyBorder="1">
      <alignment vertical="center"/>
    </xf>
    <xf numFmtId="0" fontId="38" fillId="24" borderId="67" xfId="0" applyFont="1" applyFill="1" applyBorder="1">
      <alignment vertical="center"/>
    </xf>
    <xf numFmtId="176" fontId="42" fillId="24" borderId="85" xfId="0" applyNumberFormat="1" applyFont="1" applyFill="1" applyBorder="1">
      <alignment vertical="center"/>
    </xf>
    <xf numFmtId="176" fontId="42" fillId="24" borderId="84" xfId="0" applyNumberFormat="1" applyFont="1" applyFill="1" applyBorder="1">
      <alignment vertical="center"/>
    </xf>
    <xf numFmtId="0" fontId="33" fillId="0" borderId="49" xfId="0" applyFont="1" applyBorder="1" applyAlignment="1">
      <alignment vertical="center" wrapText="1"/>
    </xf>
    <xf numFmtId="0" fontId="38" fillId="24" borderId="72" xfId="0" applyFont="1" applyFill="1" applyBorder="1">
      <alignment vertical="center"/>
    </xf>
    <xf numFmtId="0" fontId="38" fillId="24" borderId="25" xfId="0" applyFont="1" applyFill="1" applyBorder="1">
      <alignment vertical="center"/>
    </xf>
    <xf numFmtId="0" fontId="38" fillId="24" borderId="86" xfId="0" applyFont="1" applyFill="1" applyBorder="1">
      <alignment vertical="center"/>
    </xf>
    <xf numFmtId="176" fontId="42" fillId="24" borderId="50" xfId="0" applyNumberFormat="1" applyFont="1" applyFill="1" applyBorder="1">
      <alignment vertical="center"/>
    </xf>
    <xf numFmtId="176" fontId="42" fillId="24" borderId="48" xfId="0" applyNumberFormat="1" applyFont="1" applyFill="1" applyBorder="1">
      <alignment vertical="center"/>
    </xf>
    <xf numFmtId="0" fontId="56" fillId="0" borderId="0" xfId="0" applyFont="1" applyAlignment="1" applyProtection="1">
      <alignment vertical="center" wrapText="1"/>
      <protection locked="0"/>
    </xf>
    <xf numFmtId="0" fontId="0" fillId="24" borderId="10" xfId="0" applyFill="1" applyBorder="1" applyAlignment="1">
      <alignment horizontal="center" vertical="center"/>
    </xf>
    <xf numFmtId="0" fontId="0" fillId="24" borderId="10" xfId="0" applyFill="1" applyBorder="1" applyAlignment="1">
      <alignment horizontal="center" vertical="center" wrapText="1"/>
    </xf>
    <xf numFmtId="0" fontId="56" fillId="24" borderId="10" xfId="0" applyFont="1" applyFill="1" applyBorder="1" applyAlignment="1">
      <alignment horizontal="center" vertical="center"/>
    </xf>
    <xf numFmtId="176" fontId="56" fillId="24" borderId="10" xfId="0" applyNumberFormat="1" applyFont="1" applyFill="1" applyBorder="1" applyAlignment="1">
      <alignment vertical="center" shrinkToFit="1"/>
    </xf>
    <xf numFmtId="176" fontId="56" fillId="24" borderId="10" xfId="0" applyNumberFormat="1" applyFont="1" applyFill="1" applyBorder="1" applyAlignment="1">
      <alignment horizontal="right" vertical="center" shrinkToFit="1"/>
    </xf>
    <xf numFmtId="0" fontId="0" fillId="24" borderId="39" xfId="0" applyFill="1" applyBorder="1" applyAlignment="1">
      <alignment horizontal="left" vertical="center"/>
    </xf>
    <xf numFmtId="176" fontId="56" fillId="24" borderId="135" xfId="0" applyNumberFormat="1" applyFont="1" applyFill="1" applyBorder="1" applyAlignment="1">
      <alignment horizontal="right" vertical="center" shrinkToFit="1"/>
    </xf>
    <xf numFmtId="0" fontId="42" fillId="0" borderId="65" xfId="0" applyFont="1" applyBorder="1" applyAlignment="1">
      <alignment horizontal="center" vertical="center" wrapText="1"/>
    </xf>
    <xf numFmtId="0" fontId="41" fillId="27" borderId="10" xfId="0" applyFont="1" applyFill="1" applyBorder="1" applyAlignment="1" applyProtection="1">
      <alignment vertical="center" wrapText="1"/>
      <protection locked="0"/>
    </xf>
    <xf numFmtId="0" fontId="41" fillId="27" borderId="43" xfId="0" applyFont="1" applyFill="1" applyBorder="1" applyAlignment="1" applyProtection="1">
      <alignment vertical="center" wrapText="1"/>
      <protection locked="0"/>
    </xf>
    <xf numFmtId="0" fontId="31" fillId="0" borderId="12" xfId="0" applyFont="1" applyBorder="1" applyAlignment="1">
      <alignment horizontal="center" vertical="center"/>
    </xf>
    <xf numFmtId="0" fontId="41" fillId="0" borderId="45" xfId="0" applyFont="1" applyBorder="1" applyAlignment="1">
      <alignment horizontal="center" vertical="center" wrapText="1"/>
    </xf>
    <xf numFmtId="0" fontId="43" fillId="0" borderId="0" xfId="0" applyFont="1" applyAlignment="1">
      <alignment horizontal="left" vertical="center" wrapText="1"/>
    </xf>
    <xf numFmtId="3" fontId="123" fillId="31" borderId="43" xfId="0" applyNumberFormat="1" applyFont="1" applyFill="1" applyBorder="1" applyAlignment="1" applyProtection="1">
      <alignment horizontal="center" vertical="center" wrapText="1"/>
      <protection locked="0"/>
    </xf>
    <xf numFmtId="3" fontId="123" fillId="31" borderId="19" xfId="0" applyNumberFormat="1" applyFont="1" applyFill="1" applyBorder="1" applyProtection="1">
      <alignment vertical="center"/>
      <protection locked="0"/>
    </xf>
    <xf numFmtId="3" fontId="123" fillId="31" borderId="10" xfId="0" applyNumberFormat="1" applyFont="1" applyFill="1" applyBorder="1" applyAlignment="1" applyProtection="1">
      <alignment horizontal="center" vertical="center" wrapText="1"/>
      <protection locked="0"/>
    </xf>
    <xf numFmtId="3" fontId="123" fillId="31" borderId="20" xfId="0" applyNumberFormat="1" applyFont="1" applyFill="1" applyBorder="1" applyProtection="1">
      <alignment vertical="center"/>
      <protection locked="0"/>
    </xf>
    <xf numFmtId="0" fontId="40" fillId="0" borderId="0" xfId="0" applyFont="1" applyAlignment="1">
      <alignment horizontal="center" vertical="center" wrapText="1"/>
    </xf>
    <xf numFmtId="0" fontId="73" fillId="0" borderId="0" xfId="0" applyFont="1">
      <alignment vertical="center"/>
    </xf>
    <xf numFmtId="0" fontId="33" fillId="0" borderId="0" xfId="0" applyFont="1" applyAlignment="1">
      <alignment horizontal="left" vertical="center" wrapText="1"/>
    </xf>
    <xf numFmtId="0" fontId="67" fillId="0" borderId="0" xfId="0" applyFont="1">
      <alignment vertical="center"/>
    </xf>
    <xf numFmtId="0" fontId="38" fillId="0" borderId="0" xfId="0" applyFont="1">
      <alignment vertical="center"/>
    </xf>
    <xf numFmtId="0" fontId="37" fillId="0" borderId="0" xfId="0" applyFont="1">
      <alignment vertical="center"/>
    </xf>
    <xf numFmtId="0" fontId="42" fillId="0" borderId="0" xfId="0" applyFont="1" applyAlignment="1">
      <alignment horizontal="center" vertical="center"/>
    </xf>
    <xf numFmtId="49" fontId="33" fillId="24" borderId="89" xfId="0" applyNumberFormat="1" applyFont="1" applyFill="1" applyBorder="1" applyAlignment="1">
      <alignment horizontal="center" vertical="center"/>
    </xf>
    <xf numFmtId="0" fontId="38" fillId="0" borderId="0" xfId="0" applyFont="1" applyAlignment="1">
      <alignment horizontal="left" vertical="center"/>
    </xf>
    <xf numFmtId="0" fontId="35" fillId="0" borderId="0" xfId="0" applyFont="1" applyAlignment="1">
      <alignment horizontal="left" vertical="center"/>
    </xf>
    <xf numFmtId="0" fontId="41" fillId="0" borderId="0" xfId="0" applyFont="1" applyAlignment="1">
      <alignment horizontal="left" vertical="center"/>
    </xf>
    <xf numFmtId="0" fontId="34" fillId="24" borderId="0" xfId="48" applyFill="1" applyBorder="1" applyAlignment="1" applyProtection="1">
      <alignment horizontal="left" vertical="center"/>
    </xf>
    <xf numFmtId="0" fontId="68" fillId="24" borderId="0" xfId="48" applyFont="1" applyFill="1" applyBorder="1" applyAlignment="1" applyProtection="1">
      <alignment horizontal="left" vertical="center"/>
    </xf>
    <xf numFmtId="0" fontId="38" fillId="0" borderId="0" xfId="0" applyFont="1" applyAlignment="1">
      <alignment horizontal="center" vertical="center" wrapText="1"/>
    </xf>
    <xf numFmtId="0" fontId="36" fillId="25" borderId="53" xfId="0" applyFont="1" applyFill="1" applyBorder="1" applyAlignment="1">
      <alignment horizontal="center" vertical="center"/>
    </xf>
    <xf numFmtId="0" fontId="31" fillId="24" borderId="0" xfId="0" applyFont="1" applyFill="1" applyAlignment="1">
      <alignment horizontal="left" vertical="center" wrapText="1"/>
    </xf>
    <xf numFmtId="0" fontId="36" fillId="24" borderId="0" xfId="0" applyFont="1" applyFill="1" applyAlignment="1">
      <alignment vertical="top" wrapText="1"/>
    </xf>
    <xf numFmtId="0" fontId="91" fillId="0" borderId="0" xfId="0" applyFont="1">
      <alignment vertical="center"/>
    </xf>
    <xf numFmtId="0" fontId="41" fillId="28" borderId="103" xfId="0" applyFont="1" applyFill="1" applyBorder="1" applyAlignment="1" applyProtection="1">
      <alignment horizontal="center" vertical="center" wrapText="1"/>
      <protection locked="0"/>
    </xf>
    <xf numFmtId="0" fontId="41" fillId="28" borderId="104" xfId="0" applyFont="1" applyFill="1" applyBorder="1" applyAlignment="1" applyProtection="1">
      <alignment horizontal="center" vertical="center" wrapText="1"/>
      <protection locked="0"/>
    </xf>
    <xf numFmtId="0" fontId="41" fillId="28" borderId="81" xfId="0" applyFont="1" applyFill="1" applyBorder="1" applyAlignment="1" applyProtection="1">
      <alignment horizontal="center" vertical="center" wrapText="1"/>
      <protection locked="0"/>
    </xf>
    <xf numFmtId="0" fontId="41" fillId="28" borderId="110" xfId="0" applyFont="1" applyFill="1" applyBorder="1" applyAlignment="1" applyProtection="1">
      <alignment horizontal="center" vertical="center" wrapText="1"/>
      <protection locked="0"/>
    </xf>
    <xf numFmtId="0" fontId="99" fillId="0" borderId="0" xfId="0" applyFont="1" applyAlignment="1" applyProtection="1">
      <alignment horizontal="center" vertical="center"/>
      <protection locked="0"/>
    </xf>
    <xf numFmtId="0" fontId="99" fillId="0" borderId="94" xfId="0" applyFont="1" applyBorder="1" applyAlignment="1" applyProtection="1">
      <alignment horizontal="center" vertical="center"/>
      <protection locked="0"/>
    </xf>
    <xf numFmtId="0" fontId="44" fillId="28" borderId="99" xfId="0" applyFont="1" applyFill="1" applyBorder="1" applyAlignment="1" applyProtection="1">
      <alignment horizontal="center" vertical="center"/>
      <protection locked="0"/>
    </xf>
    <xf numFmtId="0" fontId="44" fillId="28" borderId="100" xfId="0" applyFont="1" applyFill="1" applyBorder="1" applyAlignment="1" applyProtection="1">
      <alignment horizontal="center" vertical="center"/>
      <protection locked="0"/>
    </xf>
    <xf numFmtId="0" fontId="44" fillId="28" borderId="101" xfId="0" applyFont="1" applyFill="1" applyBorder="1" applyAlignment="1" applyProtection="1">
      <alignment horizontal="center" vertical="center"/>
      <protection locked="0"/>
    </xf>
    <xf numFmtId="0" fontId="96" fillId="0" borderId="94" xfId="0" applyFont="1" applyBorder="1" applyAlignment="1">
      <alignment horizontal="center" vertical="center" wrapText="1"/>
    </xf>
    <xf numFmtId="0" fontId="109" fillId="0" borderId="0" xfId="0" applyFont="1" applyAlignment="1" applyProtection="1">
      <alignment horizontal="center" vertical="center" wrapText="1"/>
    </xf>
    <xf numFmtId="0" fontId="109" fillId="24" borderId="0" xfId="0" applyFont="1" applyFill="1" applyAlignment="1" applyProtection="1">
      <alignment horizontal="center" vertical="center" wrapText="1"/>
    </xf>
    <xf numFmtId="0" fontId="110" fillId="0" borderId="0" xfId="0" applyFont="1" applyProtection="1">
      <alignment vertical="center"/>
    </xf>
    <xf numFmtId="0" fontId="110" fillId="0" borderId="0" xfId="0" applyFont="1" applyAlignment="1" applyProtection="1">
      <alignment vertical="center" wrapText="1"/>
    </xf>
    <xf numFmtId="0" fontId="0" fillId="0" borderId="0" xfId="0" applyProtection="1">
      <alignment vertical="center"/>
    </xf>
    <xf numFmtId="0" fontId="0" fillId="24" borderId="0" xfId="0" applyFill="1" applyAlignment="1" applyProtection="1">
      <alignment vertical="center" wrapText="1"/>
    </xf>
    <xf numFmtId="0" fontId="0" fillId="0" borderId="0" xfId="0" applyAlignment="1" applyProtection="1">
      <alignment vertical="center" wrapText="1"/>
    </xf>
    <xf numFmtId="0" fontId="65" fillId="0" borderId="0" xfId="0" applyFont="1" applyAlignment="1" applyProtection="1">
      <alignment horizontal="center" vertical="center"/>
    </xf>
    <xf numFmtId="0" fontId="35" fillId="24" borderId="0" xfId="0" applyFont="1" applyFill="1" applyAlignment="1" applyProtection="1">
      <alignment vertical="center" wrapText="1"/>
    </xf>
    <xf numFmtId="0" fontId="92" fillId="24" borderId="0" xfId="0" applyFont="1" applyFill="1" applyAlignment="1" applyProtection="1">
      <alignment vertical="center" wrapText="1"/>
    </xf>
    <xf numFmtId="0" fontId="92" fillId="0" borderId="0" xfId="0" applyFont="1" applyAlignment="1" applyProtection="1">
      <alignment vertical="center" wrapText="1"/>
    </xf>
    <xf numFmtId="0" fontId="106" fillId="29" borderId="0" xfId="0" applyFont="1" applyFill="1" applyAlignment="1" applyProtection="1">
      <alignment vertical="center" wrapText="1"/>
    </xf>
    <xf numFmtId="0" fontId="65" fillId="29" borderId="0" xfId="0" applyFont="1" applyFill="1" applyAlignment="1" applyProtection="1">
      <alignment horizontal="center" vertical="center"/>
    </xf>
    <xf numFmtId="0" fontId="110" fillId="29" borderId="0" xfId="0" applyFont="1" applyFill="1" applyAlignment="1" applyProtection="1">
      <alignment horizontal="center" vertical="center"/>
    </xf>
    <xf numFmtId="0" fontId="35" fillId="24" borderId="0" xfId="0" applyFont="1" applyFill="1" applyAlignment="1" applyProtection="1">
      <alignment horizontal="left" vertical="center" wrapText="1"/>
    </xf>
    <xf numFmtId="0" fontId="0" fillId="24" borderId="0" xfId="0" applyFill="1" applyProtection="1">
      <alignment vertical="center"/>
    </xf>
    <xf numFmtId="0" fontId="110" fillId="24" borderId="0" xfId="0" applyFont="1" applyFill="1" applyProtection="1">
      <alignment vertical="center"/>
    </xf>
    <xf numFmtId="0" fontId="110" fillId="24" borderId="0" xfId="0" applyFont="1" applyFill="1" applyAlignment="1" applyProtection="1">
      <alignment vertical="center" wrapText="1"/>
    </xf>
    <xf numFmtId="0" fontId="56" fillId="0" borderId="0" xfId="0" applyFont="1" applyAlignment="1" applyProtection="1">
      <alignment horizontal="center" vertical="center" wrapText="1"/>
    </xf>
    <xf numFmtId="0" fontId="35" fillId="0" borderId="0" xfId="0" applyFont="1" applyAlignment="1" applyProtection="1">
      <alignment horizontal="center" vertical="center" wrapText="1"/>
    </xf>
    <xf numFmtId="0" fontId="106" fillId="0" borderId="0" xfId="0" applyFont="1" applyAlignment="1" applyProtection="1">
      <alignment horizontal="left" vertical="center" wrapText="1"/>
    </xf>
    <xf numFmtId="0" fontId="106" fillId="0" borderId="112" xfId="0" applyFont="1" applyBorder="1" applyAlignment="1" applyProtection="1">
      <alignment horizontal="left" vertical="center" wrapText="1"/>
    </xf>
    <xf numFmtId="0" fontId="65" fillId="0" borderId="0" xfId="0" applyFont="1" applyProtection="1">
      <alignment vertical="center"/>
    </xf>
    <xf numFmtId="0" fontId="115" fillId="0" borderId="0" xfId="0" applyFont="1" applyAlignment="1" applyProtection="1">
      <alignment horizontal="center" vertical="center" wrapText="1"/>
    </xf>
    <xf numFmtId="0" fontId="116" fillId="0" borderId="0" xfId="0" applyFont="1" applyAlignment="1" applyProtection="1">
      <alignment horizontal="center" vertical="center" wrapText="1"/>
    </xf>
    <xf numFmtId="0" fontId="65" fillId="0" borderId="94" xfId="0" applyFont="1" applyBorder="1" applyAlignment="1" applyProtection="1">
      <alignment vertical="center" wrapText="1"/>
    </xf>
    <xf numFmtId="0" fontId="65" fillId="0" borderId="98" xfId="0" applyFont="1" applyBorder="1" applyAlignment="1" applyProtection="1">
      <alignment vertical="center" wrapText="1"/>
    </xf>
    <xf numFmtId="0" fontId="65" fillId="0" borderId="97" xfId="0" applyFont="1" applyBorder="1" applyAlignment="1" applyProtection="1">
      <alignment vertical="center" wrapText="1"/>
    </xf>
    <xf numFmtId="0" fontId="113" fillId="0" borderId="94" xfId="0" applyFont="1" applyBorder="1" applyAlignment="1" applyProtection="1">
      <alignment horizontal="center" vertical="center" wrapText="1"/>
    </xf>
    <xf numFmtId="0" fontId="0" fillId="0" borderId="22" xfId="0" applyBorder="1" applyAlignment="1" applyProtection="1">
      <alignment vertical="center" wrapText="1" shrinkToFit="1"/>
    </xf>
    <xf numFmtId="0" fontId="0" fillId="0" borderId="53" xfId="0" applyBorder="1" applyAlignment="1" applyProtection="1">
      <alignment vertical="center" wrapText="1" shrinkToFit="1"/>
    </xf>
    <xf numFmtId="0" fontId="36" fillId="0" borderId="81" xfId="0" applyFont="1" applyBorder="1" applyAlignment="1" applyProtection="1">
      <alignment horizontal="left" vertical="top" wrapText="1"/>
    </xf>
    <xf numFmtId="0" fontId="65" fillId="0" borderId="107" xfId="0" applyFont="1" applyBorder="1" applyAlignment="1" applyProtection="1">
      <alignment horizontal="center" vertical="center" wrapText="1"/>
    </xf>
    <xf numFmtId="0" fontId="65" fillId="0" borderId="98" xfId="0" applyFont="1" applyBorder="1" applyAlignment="1" applyProtection="1">
      <alignment horizontal="center" vertical="center"/>
    </xf>
    <xf numFmtId="0" fontId="65" fillId="0" borderId="94" xfId="0" applyFont="1" applyBorder="1" applyAlignment="1" applyProtection="1">
      <alignment horizontal="center" vertical="center"/>
    </xf>
    <xf numFmtId="0" fontId="65" fillId="0" borderId="94" xfId="0" applyFont="1" applyBorder="1" applyAlignment="1" applyProtection="1">
      <alignment horizontal="center" vertical="center" wrapText="1"/>
    </xf>
    <xf numFmtId="185" fontId="0" fillId="0" borderId="0" xfId="0" applyNumberFormat="1" applyProtection="1">
      <alignment vertical="center"/>
    </xf>
    <xf numFmtId="0" fontId="56" fillId="0" borderId="0" xfId="0" applyFont="1" applyProtection="1">
      <alignment vertical="center"/>
    </xf>
    <xf numFmtId="0" fontId="31" fillId="0" borderId="59" xfId="0" applyFont="1" applyBorder="1" applyAlignment="1">
      <alignment vertical="center" wrapText="1"/>
    </xf>
    <xf numFmtId="0" fontId="31" fillId="0" borderId="63" xfId="0" applyFont="1" applyBorder="1" applyAlignment="1">
      <alignment vertical="center" wrapText="1"/>
    </xf>
    <xf numFmtId="177" fontId="31" fillId="0" borderId="53" xfId="28" applyNumberFormat="1" applyFont="1" applyFill="1" applyBorder="1" applyAlignment="1">
      <alignment vertical="center" wrapText="1"/>
    </xf>
    <xf numFmtId="49" fontId="31" fillId="0" borderId="57" xfId="0" applyNumberFormat="1" applyFont="1" applyBorder="1">
      <alignment vertical="center"/>
    </xf>
    <xf numFmtId="0" fontId="88" fillId="24" borderId="0" xfId="0" applyFont="1" applyFill="1" applyProtection="1">
      <alignment vertical="center"/>
      <protection locked="0"/>
    </xf>
    <xf numFmtId="0" fontId="88" fillId="24" borderId="0" xfId="99" applyFont="1" applyFill="1" applyProtection="1">
      <alignment vertical="center"/>
      <protection locked="0"/>
    </xf>
    <xf numFmtId="0" fontId="82" fillId="24" borderId="0" xfId="0" applyFont="1" applyFill="1" applyProtection="1">
      <alignment vertical="center"/>
      <protection locked="0"/>
    </xf>
    <xf numFmtId="0" fontId="82" fillId="24" borderId="0" xfId="99" applyFont="1" applyFill="1" applyProtection="1">
      <alignment vertical="center"/>
      <protection locked="0"/>
    </xf>
    <xf numFmtId="0" fontId="87" fillId="0" borderId="0" xfId="99" applyFont="1" applyProtection="1">
      <alignment vertical="center"/>
      <protection locked="0"/>
    </xf>
    <xf numFmtId="0" fontId="86" fillId="0" borderId="0" xfId="99" applyFont="1" applyProtection="1">
      <alignment vertical="center"/>
      <protection locked="0"/>
    </xf>
    <xf numFmtId="0" fontId="82" fillId="0" borderId="0" xfId="99" applyFont="1" applyProtection="1">
      <alignment vertical="center"/>
      <protection locked="0"/>
    </xf>
    <xf numFmtId="0" fontId="82" fillId="24" borderId="10" xfId="0" applyFont="1" applyFill="1" applyBorder="1" applyAlignment="1" applyProtection="1">
      <alignment horizontal="center" vertical="center"/>
      <protection locked="0"/>
    </xf>
    <xf numFmtId="0" fontId="82" fillId="24" borderId="0" xfId="0" applyFont="1" applyFill="1" applyAlignment="1" applyProtection="1">
      <alignment horizontal="center" vertical="center"/>
      <protection locked="0"/>
    </xf>
    <xf numFmtId="0" fontId="82" fillId="24" borderId="0" xfId="0" applyFont="1" applyFill="1" applyAlignment="1" applyProtection="1">
      <alignment vertical="center" wrapText="1"/>
      <protection locked="0"/>
    </xf>
    <xf numFmtId="0" fontId="86" fillId="24" borderId="0" xfId="99" applyFont="1" applyFill="1" applyProtection="1">
      <alignment vertical="center"/>
      <protection locked="0"/>
    </xf>
    <xf numFmtId="0" fontId="0" fillId="24" borderId="0" xfId="0" applyFill="1" applyProtection="1">
      <alignment vertical="center"/>
      <protection locked="0"/>
    </xf>
    <xf numFmtId="0" fontId="81" fillId="0" borderId="0" xfId="99" applyFont="1" applyProtection="1">
      <alignment vertical="center"/>
      <protection locked="0"/>
    </xf>
    <xf numFmtId="0" fontId="76" fillId="24" borderId="0" xfId="99" applyFont="1" applyFill="1" applyProtection="1">
      <alignment vertical="center"/>
      <protection locked="0"/>
    </xf>
    <xf numFmtId="0" fontId="77" fillId="24" borderId="0" xfId="99" applyFont="1" applyFill="1" applyProtection="1">
      <alignment vertical="center"/>
      <protection locked="0"/>
    </xf>
    <xf numFmtId="0" fontId="78" fillId="24" borderId="0" xfId="99" applyFont="1" applyFill="1" applyProtection="1">
      <alignment vertical="center"/>
      <protection locked="0"/>
    </xf>
    <xf numFmtId="0" fontId="79" fillId="24" borderId="0" xfId="99" applyFont="1" applyFill="1" applyProtection="1">
      <alignment vertical="center"/>
      <protection locked="0"/>
    </xf>
    <xf numFmtId="0" fontId="80" fillId="24" borderId="0" xfId="99" applyFont="1" applyFill="1" applyProtection="1">
      <alignment vertical="center"/>
      <protection locked="0"/>
    </xf>
    <xf numFmtId="0" fontId="81" fillId="24" borderId="0" xfId="99" applyFont="1" applyFill="1" applyProtection="1">
      <alignment vertical="center"/>
      <protection locked="0"/>
    </xf>
    <xf numFmtId="0" fontId="76" fillId="24" borderId="0" xfId="99" applyFont="1" applyFill="1" applyAlignment="1" applyProtection="1">
      <alignment vertical="top"/>
      <protection locked="0"/>
    </xf>
    <xf numFmtId="0" fontId="80" fillId="24" borderId="0" xfId="99" applyFont="1" applyFill="1" applyAlignment="1" applyProtection="1">
      <alignment vertical="top"/>
      <protection locked="0"/>
    </xf>
    <xf numFmtId="0" fontId="83" fillId="24" borderId="10" xfId="99" applyFont="1" applyFill="1" applyBorder="1" applyAlignment="1" applyProtection="1">
      <alignment horizontal="center" vertical="center" shrinkToFit="1"/>
      <protection locked="0"/>
    </xf>
    <xf numFmtId="0" fontId="83" fillId="24" borderId="10" xfId="99" applyFont="1" applyFill="1" applyBorder="1" applyAlignment="1" applyProtection="1">
      <alignment horizontal="center" vertical="center" wrapText="1" shrinkToFit="1"/>
      <protection locked="0"/>
    </xf>
    <xf numFmtId="0" fontId="83" fillId="24" borderId="10" xfId="99" applyFont="1" applyFill="1" applyBorder="1" applyAlignment="1" applyProtection="1">
      <alignment vertical="center" wrapText="1"/>
      <protection locked="0"/>
    </xf>
    <xf numFmtId="0" fontId="77" fillId="24" borderId="10" xfId="99" applyFont="1" applyFill="1" applyBorder="1" applyAlignment="1" applyProtection="1">
      <alignment vertical="center" wrapText="1"/>
      <protection locked="0"/>
    </xf>
    <xf numFmtId="0" fontId="83" fillId="24" borderId="0" xfId="99" applyFont="1" applyFill="1" applyProtection="1">
      <alignment vertical="center"/>
      <protection locked="0"/>
    </xf>
    <xf numFmtId="0" fontId="80" fillId="0" borderId="0" xfId="99" applyFont="1" applyProtection="1">
      <alignment vertical="center"/>
      <protection locked="0"/>
    </xf>
    <xf numFmtId="0" fontId="31" fillId="0" borderId="42" xfId="28" applyNumberFormat="1" applyFont="1" applyFill="1" applyBorder="1" applyAlignment="1">
      <alignment horizontal="center" vertical="center" wrapText="1"/>
    </xf>
    <xf numFmtId="176" fontId="118" fillId="0" borderId="49" xfId="0" applyNumberFormat="1" applyFont="1" applyBorder="1" applyAlignment="1" applyProtection="1">
      <alignment horizontal="center" vertical="center" wrapText="1" shrinkToFit="1"/>
      <protection locked="0"/>
    </xf>
    <xf numFmtId="176" fontId="118" fillId="0" borderId="49" xfId="0" applyNumberFormat="1" applyFont="1" applyBorder="1" applyAlignment="1" applyProtection="1">
      <alignment vertical="center" shrinkToFit="1"/>
      <protection locked="0"/>
    </xf>
    <xf numFmtId="176" fontId="38" fillId="0" borderId="72" xfId="0" applyNumberFormat="1" applyFont="1" applyBorder="1" applyAlignment="1" applyProtection="1">
      <alignment horizontal="center" vertical="center" wrapText="1" shrinkToFit="1"/>
      <protection locked="0"/>
    </xf>
    <xf numFmtId="0" fontId="31" fillId="0" borderId="0" xfId="0" applyFont="1" applyAlignment="1">
      <alignment horizontal="left" vertical="center" wrapText="1"/>
    </xf>
    <xf numFmtId="176" fontId="120" fillId="0" borderId="53" xfId="0" applyNumberFormat="1" applyFont="1" applyBorder="1" applyAlignment="1" applyProtection="1">
      <alignment horizontal="center" vertical="center" wrapText="1" shrinkToFit="1"/>
      <protection locked="0"/>
    </xf>
    <xf numFmtId="0" fontId="31" fillId="0" borderId="0" xfId="98" applyFont="1" applyAlignment="1">
      <alignment vertical="center"/>
    </xf>
    <xf numFmtId="0" fontId="0" fillId="0" borderId="0" xfId="0" applyFont="1">
      <alignment vertical="center"/>
    </xf>
    <xf numFmtId="0" fontId="31" fillId="0" borderId="48" xfId="98" applyFont="1" applyBorder="1" applyAlignment="1">
      <alignment vertical="center"/>
    </xf>
    <xf numFmtId="0" fontId="31" fillId="0" borderId="50" xfId="98" applyFont="1" applyBorder="1" applyAlignment="1">
      <alignment vertical="center" wrapText="1"/>
    </xf>
    <xf numFmtId="0" fontId="31" fillId="0" borderId="50" xfId="98" applyFont="1" applyBorder="1" applyAlignment="1">
      <alignment vertical="center"/>
    </xf>
    <xf numFmtId="0" fontId="31" fillId="0" borderId="31" xfId="98" applyFont="1" applyBorder="1" applyAlignment="1">
      <alignment vertical="center"/>
    </xf>
    <xf numFmtId="9" fontId="31" fillId="0" borderId="19" xfId="98" applyNumberFormat="1" applyFont="1" applyBorder="1" applyAlignment="1">
      <alignment vertical="center"/>
    </xf>
    <xf numFmtId="0" fontId="31" fillId="0" borderId="41" xfId="98" applyFont="1" applyBorder="1" applyAlignment="1">
      <alignment vertical="center"/>
    </xf>
    <xf numFmtId="9" fontId="31" fillId="0" borderId="20" xfId="98" applyNumberFormat="1" applyFont="1" applyBorder="1" applyAlignment="1">
      <alignment vertical="center"/>
    </xf>
    <xf numFmtId="0" fontId="31" fillId="0" borderId="33" xfId="98" applyFont="1" applyBorder="1" applyAlignment="1">
      <alignment vertical="center"/>
    </xf>
    <xf numFmtId="9" fontId="31" fillId="0" borderId="23" xfId="98" applyNumberFormat="1" applyFont="1" applyBorder="1" applyAlignment="1">
      <alignment vertical="center"/>
    </xf>
    <xf numFmtId="0" fontId="31" fillId="0" borderId="52" xfId="98" applyFont="1" applyBorder="1" applyAlignment="1">
      <alignment vertical="center"/>
    </xf>
    <xf numFmtId="9" fontId="31" fillId="0" borderId="47" xfId="98" applyNumberFormat="1" applyFont="1" applyBorder="1" applyAlignment="1">
      <alignment vertical="center"/>
    </xf>
    <xf numFmtId="0" fontId="31" fillId="0" borderId="51" xfId="98" applyFont="1" applyBorder="1" applyAlignment="1">
      <alignment vertical="center"/>
    </xf>
    <xf numFmtId="9" fontId="31" fillId="0" borderId="42" xfId="98" applyNumberFormat="1" applyFont="1" applyBorder="1" applyAlignment="1">
      <alignment vertical="center"/>
    </xf>
    <xf numFmtId="0" fontId="74" fillId="0" borderId="77" xfId="0" applyFont="1" applyBorder="1">
      <alignment vertical="center"/>
    </xf>
    <xf numFmtId="0" fontId="74" fillId="0" borderId="38" xfId="0" applyFont="1" applyBorder="1">
      <alignment vertical="center"/>
    </xf>
    <xf numFmtId="0" fontId="31" fillId="0" borderId="23" xfId="28" applyNumberFormat="1" applyFont="1" applyFill="1" applyBorder="1" applyAlignment="1">
      <alignment horizontal="center" vertical="center" wrapText="1"/>
    </xf>
    <xf numFmtId="0" fontId="31" fillId="0" borderId="28" xfId="0" applyFont="1" applyBorder="1">
      <alignment vertical="center"/>
    </xf>
    <xf numFmtId="0" fontId="31" fillId="0" borderId="41" xfId="0" applyFont="1" applyBorder="1">
      <alignment vertical="center"/>
    </xf>
    <xf numFmtId="0" fontId="31" fillId="0" borderId="11" xfId="98" applyFont="1" applyBorder="1" applyAlignment="1">
      <alignment vertical="center"/>
    </xf>
    <xf numFmtId="0" fontId="31" fillId="0" borderId="32" xfId="98" applyFont="1" applyBorder="1" applyAlignment="1">
      <alignment vertical="center"/>
    </xf>
    <xf numFmtId="9" fontId="31" fillId="0" borderId="50" xfId="98" applyNumberFormat="1" applyFont="1" applyBorder="1" applyAlignment="1">
      <alignment vertical="center"/>
    </xf>
    <xf numFmtId="0" fontId="31" fillId="0" borderId="86" xfId="98" applyFont="1" applyBorder="1" applyAlignment="1">
      <alignment vertical="center"/>
    </xf>
    <xf numFmtId="0" fontId="31" fillId="0" borderId="49" xfId="98" applyFont="1" applyBorder="1" applyAlignment="1">
      <alignment vertical="center"/>
    </xf>
    <xf numFmtId="179" fontId="31" fillId="0" borderId="49" xfId="98" applyNumberFormat="1" applyFont="1" applyBorder="1" applyAlignment="1">
      <alignment vertical="center"/>
    </xf>
    <xf numFmtId="179" fontId="31" fillId="0" borderId="50" xfId="98" applyNumberFormat="1" applyFont="1" applyBorder="1" applyAlignment="1">
      <alignment vertical="center"/>
    </xf>
    <xf numFmtId="0" fontId="31" fillId="0" borderId="58" xfId="43" applyFont="1" applyBorder="1" applyAlignment="1">
      <alignment horizontal="left" vertical="center" wrapText="1"/>
    </xf>
    <xf numFmtId="0" fontId="31" fillId="0" borderId="76" xfId="43" applyFont="1" applyBorder="1" applyAlignment="1">
      <alignment horizontal="left" vertical="center" wrapText="1"/>
    </xf>
    <xf numFmtId="176" fontId="118" fillId="0" borderId="49" xfId="0" applyNumberFormat="1" applyFont="1" applyBorder="1" applyAlignment="1" applyProtection="1">
      <alignment horizontal="center" vertical="center" shrinkToFit="1"/>
      <protection locked="0"/>
    </xf>
    <xf numFmtId="0" fontId="74" fillId="0" borderId="33" xfId="28" applyNumberFormat="1" applyFont="1" applyBorder="1" applyAlignment="1">
      <alignment horizontal="center" vertical="center" wrapText="1"/>
    </xf>
    <xf numFmtId="0" fontId="74" fillId="0" borderId="24" xfId="28" applyNumberFormat="1" applyFont="1" applyBorder="1" applyAlignment="1">
      <alignment horizontal="center" vertical="center" wrapText="1"/>
    </xf>
    <xf numFmtId="0" fontId="74" fillId="0" borderId="23" xfId="28" applyNumberFormat="1" applyFont="1" applyBorder="1" applyAlignment="1">
      <alignment horizontal="center" vertical="center" wrapText="1"/>
    </xf>
    <xf numFmtId="0" fontId="74" fillId="0" borderId="17" xfId="0" applyFont="1" applyBorder="1">
      <alignment vertical="center"/>
    </xf>
    <xf numFmtId="0" fontId="74" fillId="0" borderId="29" xfId="0" applyFont="1" applyBorder="1">
      <alignment vertical="center"/>
    </xf>
    <xf numFmtId="177" fontId="31" fillId="0" borderId="55" xfId="28" applyNumberFormat="1" applyFont="1" applyBorder="1" applyAlignment="1">
      <alignment vertical="center" wrapText="1"/>
    </xf>
    <xf numFmtId="177" fontId="31" fillId="0" borderId="28" xfId="28" applyNumberFormat="1" applyFont="1" applyBorder="1" applyAlignment="1">
      <alignment vertical="center" wrapText="1"/>
    </xf>
    <xf numFmtId="0" fontId="74" fillId="0" borderId="63" xfId="0" applyFont="1" applyBorder="1">
      <alignment vertical="center"/>
    </xf>
    <xf numFmtId="0" fontId="74" fillId="0" borderId="59" xfId="0" applyFont="1" applyBorder="1">
      <alignment vertical="center"/>
    </xf>
    <xf numFmtId="0" fontId="74" fillId="0" borderId="80" xfId="0" applyFont="1" applyBorder="1">
      <alignment vertical="center"/>
    </xf>
    <xf numFmtId="0" fontId="74" fillId="0" borderId="60" xfId="0" applyFont="1" applyBorder="1">
      <alignment vertical="center"/>
    </xf>
    <xf numFmtId="0" fontId="126" fillId="0" borderId="0" xfId="0" applyFont="1">
      <alignment vertical="center"/>
    </xf>
    <xf numFmtId="0" fontId="126" fillId="0" borderId="0" xfId="0" applyFont="1" applyAlignment="1">
      <alignment horizontal="center" vertical="center"/>
    </xf>
    <xf numFmtId="0" fontId="91" fillId="0" borderId="0" xfId="0" applyFont="1" applyProtection="1">
      <alignment vertical="center"/>
    </xf>
    <xf numFmtId="0" fontId="91" fillId="29" borderId="0" xfId="0" applyFont="1" applyFill="1" applyAlignment="1" applyProtection="1">
      <alignment horizontal="center" vertical="center"/>
    </xf>
    <xf numFmtId="0" fontId="91" fillId="24" borderId="0" xfId="0" applyFont="1" applyFill="1" applyProtection="1">
      <alignment vertical="center"/>
    </xf>
    <xf numFmtId="0" fontId="91" fillId="0" borderId="145" xfId="0" applyFont="1" applyBorder="1" applyProtection="1">
      <alignment vertical="center"/>
    </xf>
    <xf numFmtId="0" fontId="91" fillId="0" borderId="146" xfId="0" applyFont="1" applyBorder="1" applyProtection="1">
      <alignment vertical="center"/>
    </xf>
    <xf numFmtId="0" fontId="65" fillId="0" borderId="94" xfId="0" applyFont="1" applyBorder="1" applyProtection="1">
      <alignment vertical="center"/>
    </xf>
    <xf numFmtId="0" fontId="113" fillId="0" borderId="97" xfId="0" applyFont="1" applyBorder="1" applyAlignment="1" applyProtection="1">
      <alignment horizontal="center" vertical="center" wrapText="1"/>
    </xf>
    <xf numFmtId="0" fontId="65" fillId="0" borderId="97" xfId="0" applyFont="1" applyBorder="1" applyAlignment="1" applyProtection="1">
      <alignment horizontal="center" vertical="center" wrapText="1"/>
    </xf>
    <xf numFmtId="0" fontId="65" fillId="0" borderId="145" xfId="0" applyFont="1" applyBorder="1" applyAlignment="1" applyProtection="1">
      <alignment vertical="center" wrapText="1"/>
    </xf>
    <xf numFmtId="0" fontId="65" fillId="0" borderId="145" xfId="0" applyFont="1" applyBorder="1" applyProtection="1">
      <alignment vertical="center"/>
    </xf>
    <xf numFmtId="0" fontId="91" fillId="0" borderId="0" xfId="0" applyFont="1" applyBorder="1" applyProtection="1">
      <alignment vertical="center"/>
    </xf>
    <xf numFmtId="0" fontId="91" fillId="0" borderId="0" xfId="0" applyFont="1" applyBorder="1" applyAlignment="1" applyProtection="1">
      <alignment vertical="center" wrapText="1"/>
    </xf>
    <xf numFmtId="0" fontId="94" fillId="0" borderId="0" xfId="0" applyFont="1" applyProtection="1">
      <alignment vertical="center"/>
    </xf>
    <xf numFmtId="0" fontId="94" fillId="29" borderId="0" xfId="0" applyFont="1" applyFill="1" applyAlignment="1" applyProtection="1">
      <alignment horizontal="center" vertical="center"/>
    </xf>
    <xf numFmtId="0" fontId="94" fillId="24" borderId="0" xfId="0" applyFont="1" applyFill="1" applyProtection="1">
      <alignment vertical="center"/>
    </xf>
    <xf numFmtId="0" fontId="94" fillId="0" borderId="0" xfId="0" applyFont="1">
      <alignment vertical="center"/>
    </xf>
    <xf numFmtId="0" fontId="91" fillId="0" borderId="94" xfId="0" applyFont="1" applyBorder="1" applyAlignment="1" applyProtection="1">
      <alignment vertical="center" wrapText="1"/>
    </xf>
    <xf numFmtId="0" fontId="91" fillId="0" borderId="94" xfId="0" applyFont="1" applyBorder="1" applyAlignment="1" applyProtection="1">
      <alignment horizontal="center" vertical="center" wrapText="1"/>
    </xf>
    <xf numFmtId="0" fontId="41" fillId="27" borderId="10" xfId="0" applyFont="1" applyFill="1" applyBorder="1" applyAlignment="1" applyProtection="1">
      <alignment horizontal="center" vertical="center" wrapText="1"/>
      <protection locked="0"/>
    </xf>
    <xf numFmtId="0" fontId="41" fillId="27" borderId="10" xfId="0" applyFont="1" applyFill="1" applyBorder="1" applyAlignment="1" applyProtection="1">
      <alignment vertical="center"/>
      <protection locked="0"/>
    </xf>
    <xf numFmtId="0" fontId="41" fillId="27" borderId="43" xfId="0" applyFont="1" applyFill="1" applyBorder="1" applyAlignment="1" applyProtection="1">
      <alignment horizontal="center" vertical="center" wrapText="1"/>
      <protection locked="0"/>
    </xf>
    <xf numFmtId="0" fontId="41" fillId="0" borderId="87" xfId="0" applyFont="1" applyBorder="1" applyAlignment="1">
      <alignment horizontal="center" vertical="center" wrapText="1"/>
    </xf>
    <xf numFmtId="0" fontId="41" fillId="0" borderId="15" xfId="0" applyFont="1" applyBorder="1" applyAlignment="1">
      <alignment horizontal="center" vertical="center" wrapText="1"/>
    </xf>
    <xf numFmtId="0" fontId="41" fillId="0" borderId="12" xfId="0" applyFont="1" applyBorder="1" applyAlignment="1">
      <alignment horizontal="center" vertical="center" wrapText="1"/>
    </xf>
    <xf numFmtId="0" fontId="41" fillId="0" borderId="29" xfId="0" applyFont="1" applyBorder="1" applyAlignment="1">
      <alignment horizontal="center" vertical="center" wrapText="1"/>
    </xf>
    <xf numFmtId="0" fontId="41" fillId="0" borderId="11" xfId="0" applyFont="1" applyBorder="1" applyAlignment="1">
      <alignment horizontal="center" vertical="center" wrapText="1"/>
    </xf>
    <xf numFmtId="0" fontId="30" fillId="24" borderId="87" xfId="0" applyFont="1" applyFill="1" applyBorder="1" applyAlignment="1">
      <alignment horizontal="center" vertical="center" wrapText="1"/>
    </xf>
    <xf numFmtId="0" fontId="30" fillId="24" borderId="15" xfId="0" applyFont="1" applyFill="1" applyBorder="1" applyAlignment="1">
      <alignment horizontal="center" vertical="center" wrapText="1"/>
    </xf>
    <xf numFmtId="0" fontId="41" fillId="0" borderId="13" xfId="0" applyFont="1" applyBorder="1" applyAlignment="1">
      <alignment horizontal="center" vertical="center" wrapText="1"/>
    </xf>
    <xf numFmtId="0" fontId="41" fillId="0" borderId="13" xfId="0" applyFont="1" applyBorder="1" applyAlignment="1">
      <alignment horizontal="center" vertical="center"/>
    </xf>
    <xf numFmtId="0" fontId="41" fillId="27" borderId="10" xfId="0" applyFont="1" applyFill="1" applyBorder="1" applyAlignment="1" applyProtection="1">
      <alignment vertical="center" wrapText="1"/>
      <protection locked="0"/>
    </xf>
    <xf numFmtId="49" fontId="41" fillId="27" borderId="41" xfId="0" applyNumberFormat="1" applyFont="1" applyFill="1" applyBorder="1" applyAlignment="1" applyProtection="1">
      <alignment horizontal="center" vertical="center"/>
      <protection locked="0"/>
    </xf>
    <xf numFmtId="49" fontId="41" fillId="27" borderId="10" xfId="0" applyNumberFormat="1" applyFont="1" applyFill="1" applyBorder="1" applyAlignment="1" applyProtection="1">
      <alignment horizontal="center" vertical="center"/>
      <protection locked="0"/>
    </xf>
    <xf numFmtId="0" fontId="41" fillId="0" borderId="14" xfId="0" applyFont="1" applyBorder="1" applyAlignment="1">
      <alignment horizontal="center" vertical="center" wrapText="1"/>
    </xf>
    <xf numFmtId="0" fontId="41" fillId="0" borderId="93" xfId="0" applyFont="1" applyBorder="1" applyAlignment="1">
      <alignment horizontal="center" vertical="center" wrapText="1"/>
    </xf>
    <xf numFmtId="0" fontId="41" fillId="0" borderId="27" xfId="0" applyFont="1" applyBorder="1" applyAlignment="1">
      <alignment horizontal="center" vertical="center" wrapText="1"/>
    </xf>
    <xf numFmtId="0" fontId="41" fillId="0" borderId="0" xfId="0" applyFont="1" applyAlignment="1">
      <alignment horizontal="center" vertical="center" wrapText="1"/>
    </xf>
    <xf numFmtId="49" fontId="41" fillId="27" borderId="31" xfId="0" applyNumberFormat="1" applyFont="1" applyFill="1" applyBorder="1" applyAlignment="1" applyProtection="1">
      <alignment horizontal="center" vertical="center"/>
      <protection locked="0"/>
    </xf>
    <xf numFmtId="49" fontId="41" fillId="27" borderId="43" xfId="0" applyNumberFormat="1" applyFont="1" applyFill="1" applyBorder="1" applyAlignment="1" applyProtection="1">
      <alignment horizontal="center" vertical="center"/>
      <protection locked="0"/>
    </xf>
    <xf numFmtId="0" fontId="41" fillId="27" borderId="43" xfId="0" applyFont="1" applyFill="1" applyBorder="1" applyAlignment="1" applyProtection="1">
      <alignment vertical="center"/>
      <protection locked="0"/>
    </xf>
    <xf numFmtId="0" fontId="41" fillId="27" borderId="43" xfId="0" applyFont="1" applyFill="1" applyBorder="1" applyAlignment="1" applyProtection="1">
      <alignment vertical="center" wrapText="1"/>
      <protection locked="0"/>
    </xf>
    <xf numFmtId="0" fontId="41" fillId="0" borderId="45" xfId="0" applyFont="1" applyBorder="1" applyAlignment="1">
      <alignment horizontal="center" vertical="center"/>
    </xf>
    <xf numFmtId="0" fontId="41" fillId="0" borderId="39" xfId="0" applyFont="1" applyBorder="1" applyAlignment="1">
      <alignment horizontal="center" vertical="center"/>
    </xf>
    <xf numFmtId="0" fontId="41" fillId="0" borderId="10" xfId="0" applyFont="1" applyBorder="1" applyAlignment="1">
      <alignment horizontal="left" vertical="center"/>
    </xf>
    <xf numFmtId="0" fontId="41" fillId="0" borderId="10" xfId="0" applyFont="1" applyBorder="1" applyAlignment="1">
      <alignment horizontal="left" vertical="center" wrapText="1"/>
    </xf>
    <xf numFmtId="0" fontId="38" fillId="27" borderId="12" xfId="0" applyFont="1" applyFill="1" applyBorder="1" applyAlignment="1" applyProtection="1">
      <alignment horizontal="left" vertical="center" wrapText="1"/>
      <protection locked="0"/>
    </xf>
    <xf numFmtId="0" fontId="38" fillId="27" borderId="29" xfId="0" applyFont="1" applyFill="1" applyBorder="1" applyAlignment="1" applyProtection="1">
      <alignment horizontal="left" vertical="center" wrapText="1"/>
      <protection locked="0"/>
    </xf>
    <xf numFmtId="0" fontId="38" fillId="27" borderId="11" xfId="0" applyFont="1" applyFill="1" applyBorder="1" applyAlignment="1" applyProtection="1">
      <alignment horizontal="left" vertical="center" wrapText="1"/>
      <protection locked="0"/>
    </xf>
    <xf numFmtId="49" fontId="33" fillId="27" borderId="14" xfId="0" applyNumberFormat="1" applyFont="1" applyFill="1" applyBorder="1" applyAlignment="1" applyProtection="1">
      <alignment horizontal="center" vertical="center"/>
      <protection locked="0"/>
    </xf>
    <xf numFmtId="49" fontId="33" fillId="27" borderId="93" xfId="0" applyNumberFormat="1" applyFont="1" applyFill="1" applyBorder="1" applyAlignment="1" applyProtection="1">
      <alignment horizontal="center" vertical="center"/>
      <protection locked="0"/>
    </xf>
    <xf numFmtId="49" fontId="33" fillId="27" borderId="83" xfId="0" applyNumberFormat="1" applyFont="1" applyFill="1" applyBorder="1" applyAlignment="1" applyProtection="1">
      <alignment horizontal="center" vertical="center"/>
      <protection locked="0"/>
    </xf>
    <xf numFmtId="49" fontId="33" fillId="27" borderId="88" xfId="0" quotePrefix="1" applyNumberFormat="1" applyFont="1" applyFill="1" applyBorder="1" applyAlignment="1" applyProtection="1">
      <alignment horizontal="center" vertical="center"/>
      <protection locked="0"/>
    </xf>
    <xf numFmtId="49" fontId="33" fillId="27" borderId="29" xfId="0" quotePrefix="1" applyNumberFormat="1" applyFont="1" applyFill="1" applyBorder="1" applyAlignment="1" applyProtection="1">
      <alignment horizontal="center" vertical="center"/>
      <protection locked="0"/>
    </xf>
    <xf numFmtId="49" fontId="33" fillId="27" borderId="11" xfId="0" quotePrefix="1" applyNumberFormat="1" applyFont="1" applyFill="1" applyBorder="1" applyAlignment="1" applyProtection="1">
      <alignment horizontal="center" vertical="center"/>
      <protection locked="0"/>
    </xf>
    <xf numFmtId="49" fontId="35" fillId="27" borderId="12" xfId="0" applyNumberFormat="1" applyFont="1" applyFill="1" applyBorder="1" applyAlignment="1" applyProtection="1">
      <alignment horizontal="left" vertical="center"/>
      <protection locked="0"/>
    </xf>
    <xf numFmtId="49" fontId="35" fillId="27" borderId="29" xfId="0" applyNumberFormat="1" applyFont="1" applyFill="1" applyBorder="1" applyAlignment="1" applyProtection="1">
      <alignment horizontal="left" vertical="center"/>
      <protection locked="0"/>
    </xf>
    <xf numFmtId="49" fontId="35" fillId="27" borderId="11" xfId="0" applyNumberFormat="1" applyFont="1" applyFill="1" applyBorder="1" applyAlignment="1" applyProtection="1">
      <alignment horizontal="left" vertical="center"/>
      <protection locked="0"/>
    </xf>
    <xf numFmtId="0" fontId="35" fillId="27" borderId="12" xfId="0" applyFont="1" applyFill="1" applyBorder="1" applyAlignment="1" applyProtection="1">
      <alignment horizontal="left" vertical="center"/>
      <protection locked="0"/>
    </xf>
    <xf numFmtId="0" fontId="35" fillId="27" borderId="29" xfId="0" applyFont="1" applyFill="1" applyBorder="1" applyAlignment="1" applyProtection="1">
      <alignment horizontal="left" vertical="center"/>
      <protection locked="0"/>
    </xf>
    <xf numFmtId="0" fontId="35" fillId="27" borderId="11" xfId="0" applyFont="1" applyFill="1" applyBorder="1" applyAlignment="1" applyProtection="1">
      <alignment horizontal="left" vertical="center"/>
      <protection locked="0"/>
    </xf>
    <xf numFmtId="0" fontId="41" fillId="0" borderId="13" xfId="0" applyFont="1" applyBorder="1" applyAlignment="1">
      <alignment horizontal="center" vertical="center" textRotation="255"/>
    </xf>
    <xf numFmtId="0" fontId="41" fillId="0" borderId="45" xfId="0" applyFont="1" applyBorder="1" applyAlignment="1">
      <alignment horizontal="center" vertical="center" textRotation="255"/>
    </xf>
    <xf numFmtId="0" fontId="31" fillId="0" borderId="10" xfId="0" applyFont="1" applyBorder="1" applyAlignment="1">
      <alignment horizontal="center" vertical="center"/>
    </xf>
    <xf numFmtId="0" fontId="31" fillId="0" borderId="12" xfId="0" applyFont="1" applyBorder="1" applyAlignment="1">
      <alignment horizontal="center" vertical="center"/>
    </xf>
    <xf numFmtId="0" fontId="31" fillId="0" borderId="29" xfId="0" applyFont="1" applyBorder="1" applyAlignment="1">
      <alignment horizontal="center" vertical="center"/>
    </xf>
    <xf numFmtId="0" fontId="31" fillId="0" borderId="11" xfId="0" applyFont="1" applyBorder="1" applyAlignment="1">
      <alignment horizontal="center" vertical="center"/>
    </xf>
    <xf numFmtId="0" fontId="41" fillId="0" borderId="14" xfId="0" applyFont="1" applyBorder="1" applyAlignment="1">
      <alignment horizontal="center" vertical="center"/>
    </xf>
    <xf numFmtId="0" fontId="41" fillId="0" borderId="16" xfId="0" applyFont="1" applyBorder="1" applyAlignment="1">
      <alignment horizontal="center" vertical="center"/>
    </xf>
    <xf numFmtId="0" fontId="33" fillId="0" borderId="0" xfId="0" applyFont="1" applyAlignment="1">
      <alignment horizontal="left" vertical="center" wrapText="1"/>
    </xf>
    <xf numFmtId="0" fontId="36" fillId="0" borderId="0" xfId="0" applyFont="1" applyAlignment="1">
      <alignment horizontal="center" vertical="center" wrapText="1"/>
    </xf>
    <xf numFmtId="0" fontId="41" fillId="0" borderId="13" xfId="0" applyFont="1" applyBorder="1" applyAlignment="1">
      <alignment horizontal="center" vertical="center" wrapText="1" shrinkToFit="1"/>
    </xf>
    <xf numFmtId="0" fontId="41" fillId="0" borderId="39" xfId="0" applyFont="1" applyBorder="1" applyAlignment="1">
      <alignment horizontal="center" vertical="center" wrapText="1" shrinkToFit="1"/>
    </xf>
    <xf numFmtId="0" fontId="41" fillId="0" borderId="29" xfId="0" applyFont="1" applyBorder="1" applyAlignment="1">
      <alignment horizontal="left" vertical="center"/>
    </xf>
    <xf numFmtId="0" fontId="41" fillId="0" borderId="11" xfId="0" applyFont="1" applyBorder="1" applyAlignment="1">
      <alignment horizontal="left" vertical="center"/>
    </xf>
    <xf numFmtId="0" fontId="41" fillId="0" borderId="13" xfId="0" applyFont="1" applyBorder="1" applyAlignment="1">
      <alignment horizontal="left" vertical="center" wrapText="1"/>
    </xf>
    <xf numFmtId="0" fontId="41" fillId="0" borderId="39" xfId="0" applyFont="1" applyBorder="1" applyAlignment="1">
      <alignment horizontal="left" vertical="center" wrapText="1"/>
    </xf>
    <xf numFmtId="0" fontId="34" fillId="27" borderId="12" xfId="48" applyFill="1" applyBorder="1" applyAlignment="1" applyProtection="1">
      <alignment horizontal="left" vertical="center"/>
      <protection locked="0"/>
    </xf>
    <xf numFmtId="0" fontId="68" fillId="27" borderId="29" xfId="48" applyFont="1" applyFill="1" applyBorder="1" applyAlignment="1" applyProtection="1">
      <alignment horizontal="left" vertical="center"/>
      <protection locked="0"/>
    </xf>
    <xf numFmtId="0" fontId="68" fillId="27" borderId="11" xfId="48" applyFont="1" applyFill="1" applyBorder="1" applyAlignment="1" applyProtection="1">
      <alignment horizontal="left" vertical="center"/>
      <protection locked="0"/>
    </xf>
    <xf numFmtId="0" fontId="41" fillId="0" borderId="10" xfId="0" applyFont="1" applyBorder="1" applyAlignment="1">
      <alignment vertical="center"/>
    </xf>
    <xf numFmtId="0" fontId="33" fillId="0" borderId="17" xfId="0" applyFont="1" applyBorder="1" applyAlignment="1">
      <alignment horizontal="left" vertical="center"/>
    </xf>
    <xf numFmtId="0" fontId="41" fillId="0" borderId="12" xfId="0" applyFont="1" applyBorder="1" applyAlignment="1">
      <alignment horizontal="center" vertical="center"/>
    </xf>
    <xf numFmtId="0" fontId="41" fillId="0" borderId="29" xfId="0" applyFont="1" applyBorder="1" applyAlignment="1">
      <alignment horizontal="center" vertical="center"/>
    </xf>
    <xf numFmtId="0" fontId="41" fillId="0" borderId="11" xfId="0" applyFont="1" applyBorder="1" applyAlignment="1">
      <alignment horizontal="center" vertical="center"/>
    </xf>
    <xf numFmtId="0" fontId="41" fillId="0" borderId="13" xfId="0" applyFont="1" applyBorder="1" applyAlignment="1">
      <alignment horizontal="left" vertical="center"/>
    </xf>
    <xf numFmtId="0" fontId="41" fillId="0" borderId="39" xfId="0" applyFont="1" applyBorder="1" applyAlignment="1">
      <alignment horizontal="left" vertical="center"/>
    </xf>
    <xf numFmtId="0" fontId="122" fillId="27" borderId="12" xfId="0" applyFont="1" applyFill="1" applyBorder="1" applyAlignment="1" applyProtection="1">
      <alignment horizontal="center" vertical="center"/>
      <protection locked="0"/>
    </xf>
    <xf numFmtId="0" fontId="122" fillId="27" borderId="29" xfId="0" applyFont="1" applyFill="1" applyBorder="1" applyAlignment="1" applyProtection="1">
      <alignment horizontal="center" vertical="center"/>
      <protection locked="0"/>
    </xf>
    <xf numFmtId="0" fontId="122" fillId="27" borderId="11" xfId="0" applyFont="1" applyFill="1" applyBorder="1" applyAlignment="1" applyProtection="1">
      <alignment horizontal="center" vertical="center"/>
      <protection locked="0"/>
    </xf>
    <xf numFmtId="0" fontId="38" fillId="27" borderId="12" xfId="0" applyFont="1" applyFill="1" applyBorder="1" applyAlignment="1" applyProtection="1">
      <alignment horizontal="left" vertical="center"/>
      <protection locked="0"/>
    </xf>
    <xf numFmtId="0" fontId="38" fillId="27" borderId="29" xfId="0" applyFont="1" applyFill="1" applyBorder="1" applyAlignment="1" applyProtection="1">
      <alignment horizontal="left" vertical="center"/>
      <protection locked="0"/>
    </xf>
    <xf numFmtId="0" fontId="38" fillId="27" borderId="11" xfId="0" applyFont="1" applyFill="1" applyBorder="1" applyAlignment="1" applyProtection="1">
      <alignment horizontal="left" vertical="center"/>
      <protection locked="0"/>
    </xf>
    <xf numFmtId="0" fontId="43" fillId="0" borderId="0" xfId="0" applyFont="1" applyAlignment="1">
      <alignment horizontal="left" vertical="center" wrapText="1"/>
    </xf>
    <xf numFmtId="0" fontId="0" fillId="0" borderId="0" xfId="0" applyAlignment="1">
      <alignment horizontal="left" vertical="top" wrapText="1"/>
    </xf>
    <xf numFmtId="0" fontId="41" fillId="0" borderId="10" xfId="0" applyFont="1" applyBorder="1" applyAlignment="1">
      <alignment horizontal="center" vertical="center" wrapText="1"/>
    </xf>
    <xf numFmtId="0" fontId="41" fillId="0" borderId="45" xfId="0" applyFont="1" applyBorder="1" applyAlignment="1">
      <alignment horizontal="center" vertical="center" wrapText="1"/>
    </xf>
    <xf numFmtId="0" fontId="30" fillId="24" borderId="13" xfId="0" applyFont="1" applyFill="1" applyBorder="1" applyAlignment="1">
      <alignment horizontal="center" vertical="center" wrapText="1"/>
    </xf>
    <xf numFmtId="0" fontId="30" fillId="24" borderId="45" xfId="0" applyFont="1" applyFill="1" applyBorder="1" applyAlignment="1">
      <alignment horizontal="center" vertical="center" wrapText="1"/>
    </xf>
    <xf numFmtId="0" fontId="31" fillId="0" borderId="10" xfId="0" applyFont="1" applyBorder="1" applyAlignment="1">
      <alignment horizontal="left" vertical="center" wrapText="1"/>
    </xf>
    <xf numFmtId="0" fontId="31" fillId="0" borderId="12" xfId="0" applyFont="1" applyBorder="1" applyAlignment="1">
      <alignment horizontal="left" vertical="center" wrapText="1"/>
    </xf>
    <xf numFmtId="0" fontId="41" fillId="27" borderId="54" xfId="0" applyFont="1" applyFill="1" applyBorder="1" applyAlignment="1" applyProtection="1">
      <alignment horizontal="center" vertical="center" wrapText="1"/>
      <protection locked="0"/>
    </xf>
    <xf numFmtId="0" fontId="41" fillId="27" borderId="21" xfId="0" applyFont="1" applyFill="1" applyBorder="1" applyAlignment="1" applyProtection="1">
      <alignment horizontal="center" vertical="center" wrapText="1"/>
      <protection locked="0"/>
    </xf>
    <xf numFmtId="0" fontId="41" fillId="27" borderId="56" xfId="0" applyFont="1" applyFill="1" applyBorder="1" applyAlignment="1" applyProtection="1">
      <alignment horizontal="center" vertical="center" wrapText="1"/>
      <protection locked="0"/>
    </xf>
    <xf numFmtId="0" fontId="65" fillId="0" borderId="107" xfId="0" applyFont="1" applyBorder="1" applyAlignment="1">
      <alignment horizontal="center" vertical="center"/>
    </xf>
    <xf numFmtId="0" fontId="65" fillId="0" borderId="108" xfId="0" applyFont="1" applyBorder="1" applyAlignment="1">
      <alignment horizontal="center" vertical="center"/>
    </xf>
    <xf numFmtId="0" fontId="65" fillId="0" borderId="109" xfId="0" applyFont="1" applyBorder="1" applyAlignment="1">
      <alignment horizontal="center" vertical="center"/>
    </xf>
    <xf numFmtId="0" fontId="49" fillId="0" borderId="125" xfId="0" applyFont="1" applyBorder="1" applyAlignment="1">
      <alignment horizontal="left" vertical="center" wrapText="1"/>
    </xf>
    <xf numFmtId="0" fontId="49" fillId="0" borderId="69" xfId="0" applyFont="1" applyBorder="1" applyAlignment="1">
      <alignment horizontal="left" vertical="center" wrapText="1"/>
    </xf>
    <xf numFmtId="0" fontId="49" fillId="0" borderId="126" xfId="0" applyFont="1" applyBorder="1" applyAlignment="1">
      <alignment horizontal="left" vertical="center" wrapText="1"/>
    </xf>
    <xf numFmtId="0" fontId="49" fillId="0" borderId="124" xfId="0" applyFont="1" applyBorder="1" applyAlignment="1">
      <alignment horizontal="center" vertical="center"/>
    </xf>
    <xf numFmtId="0" fontId="49" fillId="0" borderId="36" xfId="0" applyFont="1" applyBorder="1" applyAlignment="1">
      <alignment horizontal="center" vertical="center"/>
    </xf>
    <xf numFmtId="0" fontId="49" fillId="0" borderId="127" xfId="0" applyFont="1" applyBorder="1" applyAlignment="1">
      <alignment horizontal="center" vertical="center"/>
    </xf>
    <xf numFmtId="0" fontId="49" fillId="0" borderId="115" xfId="0" applyFont="1" applyBorder="1" applyAlignment="1">
      <alignment horizontal="center" vertical="center"/>
    </xf>
    <xf numFmtId="0" fontId="49" fillId="0" borderId="105" xfId="0" applyFont="1" applyBorder="1" applyAlignment="1">
      <alignment horizontal="center" vertical="center"/>
    </xf>
    <xf numFmtId="0" fontId="49" fillId="0" borderId="116" xfId="0" applyFont="1" applyBorder="1" applyAlignment="1">
      <alignment horizontal="center" vertical="center"/>
    </xf>
    <xf numFmtId="0" fontId="45" fillId="26" borderId="12" xfId="0" applyFont="1" applyFill="1" applyBorder="1" applyAlignment="1">
      <alignment horizontal="center" vertical="center"/>
    </xf>
    <xf numFmtId="0" fontId="45" fillId="26" borderId="29" xfId="0" applyFont="1" applyFill="1" applyBorder="1" applyAlignment="1">
      <alignment horizontal="center" vertical="center"/>
    </xf>
    <xf numFmtId="0" fontId="45" fillId="26" borderId="11" xfId="0" applyFont="1" applyFill="1" applyBorder="1" applyAlignment="1">
      <alignment horizontal="center" vertical="center"/>
    </xf>
    <xf numFmtId="0" fontId="49" fillId="0" borderId="121" xfId="0" applyFont="1" applyBorder="1" applyAlignment="1">
      <alignment horizontal="center" vertical="center"/>
    </xf>
    <xf numFmtId="0" fontId="49" fillId="0" borderId="122" xfId="0" applyFont="1" applyBorder="1" applyAlignment="1">
      <alignment horizontal="center" vertical="center"/>
    </xf>
    <xf numFmtId="0" fontId="49" fillId="0" borderId="123" xfId="0" applyFont="1" applyBorder="1" applyAlignment="1">
      <alignment horizontal="center" vertical="center"/>
    </xf>
    <xf numFmtId="0" fontId="49" fillId="0" borderId="139" xfId="0" applyFont="1" applyBorder="1" applyAlignment="1">
      <alignment horizontal="center" vertical="center"/>
    </xf>
    <xf numFmtId="0" fontId="49" fillId="0" borderId="140" xfId="0" applyFont="1" applyBorder="1" applyAlignment="1">
      <alignment horizontal="center" vertical="center"/>
    </xf>
    <xf numFmtId="0" fontId="49" fillId="0" borderId="141" xfId="0" applyFont="1" applyBorder="1" applyAlignment="1">
      <alignment horizontal="center" vertical="center"/>
    </xf>
    <xf numFmtId="0" fontId="49" fillId="0" borderId="12" xfId="0" applyFont="1" applyBorder="1" applyAlignment="1">
      <alignment horizontal="center" vertical="center"/>
    </xf>
    <xf numFmtId="0" fontId="49" fillId="0" borderId="29" xfId="0" applyFont="1" applyBorder="1" applyAlignment="1">
      <alignment horizontal="center" vertical="center"/>
    </xf>
    <xf numFmtId="0" fontId="49" fillId="0" borderId="11" xfId="0" applyFont="1" applyBorder="1" applyAlignment="1">
      <alignment horizontal="center" vertical="center"/>
    </xf>
    <xf numFmtId="0" fontId="49" fillId="0" borderId="124" xfId="0" applyFont="1" applyBorder="1" applyAlignment="1">
      <alignment horizontal="left" vertical="center" wrapText="1"/>
    </xf>
    <xf numFmtId="0" fontId="49" fillId="0" borderId="36" xfId="0" applyFont="1" applyBorder="1" applyAlignment="1">
      <alignment horizontal="left" vertical="center" wrapText="1"/>
    </xf>
    <xf numFmtId="0" fontId="49" fillId="0" borderId="37" xfId="0" applyFont="1" applyBorder="1" applyAlignment="1">
      <alignment horizontal="left" vertical="center" wrapText="1"/>
    </xf>
    <xf numFmtId="0" fontId="39" fillId="0" borderId="137" xfId="0" applyFont="1" applyBorder="1" applyAlignment="1">
      <alignment horizontal="center" vertical="center"/>
    </xf>
    <xf numFmtId="0" fontId="39" fillId="0" borderId="137" xfId="0" applyFont="1" applyBorder="1" applyAlignment="1">
      <alignment horizontal="left" vertical="center" wrapText="1"/>
    </xf>
    <xf numFmtId="0" fontId="39" fillId="0" borderId="138" xfId="0" applyFont="1" applyBorder="1" applyAlignment="1">
      <alignment horizontal="left" vertical="center" wrapText="1"/>
    </xf>
    <xf numFmtId="0" fontId="52" fillId="24" borderId="0" xfId="0" applyFont="1" applyFill="1" applyAlignment="1">
      <alignment horizontal="center" vertical="center" wrapText="1"/>
    </xf>
    <xf numFmtId="0" fontId="47" fillId="24" borderId="0" xfId="0" applyFont="1" applyFill="1" applyAlignment="1">
      <alignment horizontal="center" vertical="center"/>
    </xf>
    <xf numFmtId="0" fontId="52" fillId="0" borderId="0" xfId="0" applyFont="1" applyAlignment="1">
      <alignment vertical="center" shrinkToFit="1"/>
    </xf>
    <xf numFmtId="0" fontId="47" fillId="24" borderId="0" xfId="0" applyFont="1" applyFill="1" applyAlignment="1">
      <alignment horizontal="center" vertical="center" shrinkToFit="1"/>
    </xf>
    <xf numFmtId="0" fontId="40" fillId="24" borderId="0" xfId="0" applyFont="1" applyFill="1" applyAlignment="1">
      <alignment vertical="center" wrapText="1"/>
    </xf>
    <xf numFmtId="0" fontId="96" fillId="0" borderId="94" xfId="0" applyFont="1" applyBorder="1" applyAlignment="1">
      <alignment horizontal="center" vertical="center" wrapText="1"/>
    </xf>
    <xf numFmtId="0" fontId="30" fillId="0" borderId="114" xfId="0" quotePrefix="1" applyFont="1" applyBorder="1" applyAlignment="1">
      <alignment horizontal="center" vertical="center"/>
    </xf>
    <xf numFmtId="0" fontId="49" fillId="0" borderId="117" xfId="0" applyFont="1" applyBorder="1" applyAlignment="1">
      <alignment horizontal="left" vertical="center" wrapText="1"/>
    </xf>
    <xf numFmtId="0" fontId="49" fillId="0" borderId="118" xfId="0" applyFont="1" applyBorder="1" applyAlignment="1">
      <alignment horizontal="left" vertical="center" wrapText="1"/>
    </xf>
    <xf numFmtId="0" fontId="49" fillId="0" borderId="117" xfId="0" applyFont="1" applyBorder="1" applyAlignment="1">
      <alignment horizontal="left" vertical="center"/>
    </xf>
    <xf numFmtId="0" fontId="49" fillId="0" borderId="118" xfId="0" applyFont="1" applyBorder="1" applyAlignment="1">
      <alignment horizontal="left" vertical="center"/>
    </xf>
    <xf numFmtId="0" fontId="44" fillId="0" borderId="12" xfId="0" applyFont="1" applyBorder="1" applyAlignment="1">
      <alignment horizontal="left" vertical="center" wrapText="1"/>
    </xf>
    <xf numFmtId="0" fontId="44" fillId="0" borderId="29" xfId="0" applyFont="1" applyBorder="1" applyAlignment="1">
      <alignment horizontal="left" vertical="center" wrapText="1"/>
    </xf>
    <xf numFmtId="0" fontId="49" fillId="24" borderId="34" xfId="0" applyFont="1" applyFill="1" applyBorder="1" applyAlignment="1">
      <alignment horizontal="left" vertical="center" wrapText="1"/>
    </xf>
    <xf numFmtId="0" fontId="49" fillId="24" borderId="29" xfId="0" applyFont="1" applyFill="1" applyBorder="1" applyAlignment="1">
      <alignment horizontal="left" vertical="center" wrapText="1"/>
    </xf>
    <xf numFmtId="0" fontId="49" fillId="24" borderId="11" xfId="0" applyFont="1" applyFill="1" applyBorder="1" applyAlignment="1">
      <alignment horizontal="left" vertical="center" wrapText="1"/>
    </xf>
    <xf numFmtId="0" fontId="39" fillId="24" borderId="34" xfId="0" applyFont="1" applyFill="1" applyBorder="1" applyAlignment="1">
      <alignment horizontal="left" vertical="center" wrapText="1"/>
    </xf>
    <xf numFmtId="0" fontId="39" fillId="24" borderId="29" xfId="0" applyFont="1" applyFill="1" applyBorder="1" applyAlignment="1">
      <alignment horizontal="left" vertical="center" wrapText="1"/>
    </xf>
    <xf numFmtId="0" fontId="39" fillId="24" borderId="11" xfId="0" applyFont="1" applyFill="1" applyBorder="1" applyAlignment="1">
      <alignment horizontal="left" vertical="center" wrapText="1"/>
    </xf>
    <xf numFmtId="0" fontId="39" fillId="0" borderId="11" xfId="0" applyFont="1" applyBorder="1" applyAlignment="1">
      <alignment horizontal="left" vertical="center"/>
    </xf>
    <xf numFmtId="0" fontId="39" fillId="0" borderId="10" xfId="0" applyFont="1" applyBorder="1" applyAlignment="1">
      <alignment horizontal="left" vertical="center"/>
    </xf>
    <xf numFmtId="0" fontId="39" fillId="0" borderId="11" xfId="0" applyFont="1" applyBorder="1" applyAlignment="1">
      <alignment horizontal="center" vertical="center"/>
    </xf>
    <xf numFmtId="0" fontId="39" fillId="0" borderId="10" xfId="0" applyFont="1" applyBorder="1" applyAlignment="1">
      <alignment horizontal="center" vertical="center"/>
    </xf>
    <xf numFmtId="0" fontId="39" fillId="0" borderId="11" xfId="0" applyFont="1" applyBorder="1" applyAlignment="1">
      <alignment horizontal="left" vertical="center" wrapText="1"/>
    </xf>
    <xf numFmtId="0" fontId="39" fillId="0" borderId="10" xfId="0" applyFont="1" applyBorder="1" applyAlignment="1">
      <alignment horizontal="left" vertical="center" wrapText="1"/>
    </xf>
    <xf numFmtId="0" fontId="52" fillId="28" borderId="0" xfId="0" applyFont="1" applyFill="1" applyAlignment="1" applyProtection="1">
      <alignment horizontal="center" vertical="center"/>
      <protection locked="0"/>
    </xf>
    <xf numFmtId="0" fontId="33" fillId="28" borderId="0" xfId="0" applyFont="1" applyFill="1" applyAlignment="1" applyProtection="1">
      <alignment horizontal="center" vertical="center"/>
      <protection locked="0"/>
    </xf>
    <xf numFmtId="0" fontId="52" fillId="24" borderId="0" xfId="0" applyFont="1" applyFill="1" applyAlignment="1">
      <alignment horizontal="center" vertical="center"/>
    </xf>
    <xf numFmtId="0" fontId="52" fillId="24" borderId="0" xfId="0" applyFont="1" applyFill="1" applyAlignment="1">
      <alignment horizontal="left" vertical="center" shrinkToFit="1"/>
    </xf>
    <xf numFmtId="0" fontId="39" fillId="24" borderId="34" xfId="0" applyFont="1" applyFill="1" applyBorder="1" applyAlignment="1">
      <alignment horizontal="left" vertical="center"/>
    </xf>
    <xf numFmtId="0" fontId="39" fillId="24" borderId="29" xfId="0" applyFont="1" applyFill="1" applyBorder="1" applyAlignment="1">
      <alignment horizontal="left" vertical="center"/>
    </xf>
    <xf numFmtId="0" fontId="39" fillId="24" borderId="11" xfId="0" applyFont="1" applyFill="1" applyBorder="1" applyAlignment="1">
      <alignment horizontal="left" vertical="center"/>
    </xf>
    <xf numFmtId="0" fontId="39" fillId="0" borderId="0" xfId="0" applyFont="1" applyAlignment="1">
      <alignment horizontal="left" vertical="center" wrapText="1"/>
    </xf>
    <xf numFmtId="0" fontId="52" fillId="24" borderId="0" xfId="0" applyFont="1" applyFill="1" applyAlignment="1">
      <alignment horizontal="left" vertical="center" wrapText="1"/>
    </xf>
    <xf numFmtId="0" fontId="39" fillId="26" borderId="14" xfId="0" applyFont="1" applyFill="1" applyBorder="1" applyAlignment="1">
      <alignment horizontal="center" vertical="center" wrapText="1"/>
    </xf>
    <xf numFmtId="0" fontId="39" fillId="26" borderId="93" xfId="0" applyFont="1" applyFill="1" applyBorder="1" applyAlignment="1">
      <alignment horizontal="center" vertical="center" wrapText="1"/>
    </xf>
    <xf numFmtId="0" fontId="39" fillId="26" borderId="111" xfId="0" applyFont="1" applyFill="1" applyBorder="1" applyAlignment="1">
      <alignment horizontal="center" vertical="center" wrapText="1"/>
    </xf>
    <xf numFmtId="0" fontId="40" fillId="24" borderId="22" xfId="0" applyFont="1" applyFill="1" applyBorder="1" applyAlignment="1">
      <alignment horizontal="center" vertical="center" wrapText="1"/>
    </xf>
    <xf numFmtId="0" fontId="40" fillId="24" borderId="25" xfId="0" applyFont="1" applyFill="1" applyBorder="1" applyAlignment="1">
      <alignment horizontal="center" vertical="center" wrapText="1"/>
    </xf>
    <xf numFmtId="0" fontId="40" fillId="24" borderId="26" xfId="0" applyFont="1" applyFill="1" applyBorder="1" applyAlignment="1">
      <alignment horizontal="center" vertical="center" wrapText="1"/>
    </xf>
    <xf numFmtId="0" fontId="39" fillId="0" borderId="39" xfId="0" applyFont="1" applyBorder="1" applyAlignment="1">
      <alignment horizontal="left" vertical="center" wrapText="1"/>
    </xf>
    <xf numFmtId="0" fontId="39" fillId="24" borderId="0" xfId="0" applyFont="1" applyFill="1" applyAlignment="1">
      <alignment horizontal="left" vertical="center" wrapText="1"/>
    </xf>
    <xf numFmtId="0" fontId="39" fillId="24" borderId="91" xfId="0" applyFont="1" applyFill="1" applyBorder="1" applyAlignment="1">
      <alignment horizontal="left" vertical="center" wrapText="1"/>
    </xf>
    <xf numFmtId="0" fontId="39" fillId="24" borderId="14" xfId="0" applyFont="1" applyFill="1" applyBorder="1" applyAlignment="1">
      <alignment horizontal="center" vertical="center" wrapText="1"/>
    </xf>
    <xf numFmtId="0" fontId="39" fillId="24" borderId="93" xfId="0" applyFont="1" applyFill="1" applyBorder="1" applyAlignment="1">
      <alignment horizontal="center" vertical="center" wrapText="1"/>
    </xf>
    <xf numFmtId="0" fontId="39" fillId="24" borderId="111" xfId="0" applyFont="1" applyFill="1" applyBorder="1" applyAlignment="1">
      <alignment horizontal="center" vertical="center" wrapText="1"/>
    </xf>
    <xf numFmtId="0" fontId="39" fillId="24" borderId="16" xfId="0" applyFont="1" applyFill="1" applyBorder="1" applyAlignment="1">
      <alignment horizontal="center" vertical="center" wrapText="1"/>
    </xf>
    <xf numFmtId="0" fontId="39" fillId="24" borderId="17" xfId="0" applyFont="1" applyFill="1" applyBorder="1" applyAlignment="1">
      <alignment horizontal="center" vertical="center" wrapText="1"/>
    </xf>
    <xf numFmtId="0" fontId="39" fillId="24" borderId="44" xfId="0" applyFont="1" applyFill="1" applyBorder="1" applyAlignment="1">
      <alignment horizontal="center" vertical="center" wrapText="1"/>
    </xf>
    <xf numFmtId="0" fontId="39" fillId="24" borderId="36" xfId="0" applyFont="1" applyFill="1" applyBorder="1" applyAlignment="1">
      <alignment horizontal="left" vertical="center" wrapText="1"/>
    </xf>
    <xf numFmtId="0" fontId="39" fillId="24" borderId="37" xfId="0" applyFont="1" applyFill="1" applyBorder="1" applyAlignment="1">
      <alignment horizontal="left" vertical="center" wrapText="1"/>
    </xf>
    <xf numFmtId="0" fontId="39" fillId="24" borderId="17" xfId="0" applyFont="1" applyFill="1" applyBorder="1" applyAlignment="1">
      <alignment horizontal="left" vertical="center" wrapText="1"/>
    </xf>
    <xf numFmtId="0" fontId="39" fillId="24" borderId="18" xfId="0" applyFont="1" applyFill="1" applyBorder="1" applyAlignment="1">
      <alignment horizontal="left" vertical="center" wrapText="1"/>
    </xf>
    <xf numFmtId="0" fontId="40" fillId="24" borderId="74" xfId="0" applyFont="1" applyFill="1" applyBorder="1" applyAlignment="1">
      <alignment horizontal="left" vertical="center" wrapText="1"/>
    </xf>
    <xf numFmtId="0" fontId="40" fillId="24" borderId="30" xfId="0" applyFont="1" applyFill="1" applyBorder="1" applyAlignment="1">
      <alignment horizontal="left" vertical="center" wrapText="1"/>
    </xf>
    <xf numFmtId="0" fontId="40" fillId="24" borderId="77" xfId="0" applyFont="1" applyFill="1" applyBorder="1" applyAlignment="1">
      <alignment horizontal="left" vertical="center" wrapText="1"/>
    </xf>
    <xf numFmtId="0" fontId="40" fillId="24" borderId="78" xfId="0" applyFont="1" applyFill="1" applyBorder="1" applyAlignment="1">
      <alignment horizontal="left" vertical="center" wrapText="1"/>
    </xf>
    <xf numFmtId="0" fontId="40" fillId="24" borderId="79" xfId="0" applyFont="1" applyFill="1" applyBorder="1" applyAlignment="1">
      <alignment horizontal="left" vertical="center" wrapText="1"/>
    </xf>
    <xf numFmtId="0" fontId="40" fillId="24" borderId="92" xfId="0" applyFont="1" applyFill="1" applyBorder="1" applyAlignment="1">
      <alignment horizontal="left" vertical="center" wrapText="1"/>
    </xf>
    <xf numFmtId="0" fontId="41" fillId="0" borderId="16" xfId="0" applyFont="1" applyBorder="1" applyAlignment="1">
      <alignment horizontal="center" vertical="center" wrapText="1"/>
    </xf>
    <xf numFmtId="0" fontId="41" fillId="0" borderId="17" xfId="0" applyFont="1" applyBorder="1" applyAlignment="1">
      <alignment horizontal="center" vertical="center" wrapText="1"/>
    </xf>
    <xf numFmtId="0" fontId="39" fillId="28" borderId="103" xfId="0" applyFont="1" applyFill="1" applyBorder="1" applyAlignment="1" applyProtection="1">
      <alignment horizontal="center" vertical="center" wrapText="1"/>
      <protection locked="0"/>
    </xf>
    <xf numFmtId="0" fontId="39" fillId="28" borderId="128" xfId="0" applyFont="1" applyFill="1" applyBorder="1" applyAlignment="1" applyProtection="1">
      <alignment horizontal="center" vertical="center" wrapText="1"/>
      <protection locked="0"/>
    </xf>
    <xf numFmtId="0" fontId="39" fillId="28" borderId="104" xfId="0" applyFont="1" applyFill="1" applyBorder="1" applyAlignment="1" applyProtection="1">
      <alignment horizontal="center" vertical="center" wrapText="1"/>
      <protection locked="0"/>
    </xf>
    <xf numFmtId="0" fontId="39" fillId="28" borderId="129" xfId="0" applyFont="1" applyFill="1" applyBorder="1" applyAlignment="1" applyProtection="1">
      <alignment horizontal="center" vertical="center" wrapText="1"/>
      <protection locked="0"/>
    </xf>
    <xf numFmtId="0" fontId="65" fillId="0" borderId="94" xfId="0" applyFont="1" applyBorder="1" applyAlignment="1">
      <alignment horizontal="center" vertical="center"/>
    </xf>
    <xf numFmtId="0" fontId="39" fillId="28" borderId="110" xfId="0" applyFont="1" applyFill="1" applyBorder="1" applyAlignment="1" applyProtection="1">
      <alignment horizontal="center" vertical="center" wrapText="1"/>
      <protection locked="0"/>
    </xf>
    <xf numFmtId="0" fontId="39" fillId="28" borderId="131" xfId="0" applyFont="1" applyFill="1" applyBorder="1" applyAlignment="1" applyProtection="1">
      <alignment horizontal="center" vertical="center" wrapText="1"/>
      <protection locked="0"/>
    </xf>
    <xf numFmtId="0" fontId="45" fillId="24" borderId="11" xfId="0" applyFont="1" applyFill="1" applyBorder="1" applyAlignment="1">
      <alignment horizontal="left" vertical="center" wrapText="1"/>
    </xf>
    <xf numFmtId="0" fontId="45" fillId="24" borderId="10" xfId="0" applyFont="1" applyFill="1" applyBorder="1" applyAlignment="1">
      <alignment horizontal="left" vertical="center" wrapText="1"/>
    </xf>
    <xf numFmtId="0" fontId="44" fillId="24" borderId="11" xfId="0" applyFont="1" applyFill="1" applyBorder="1" applyAlignment="1">
      <alignment horizontal="left" vertical="center" wrapText="1"/>
    </xf>
    <xf numFmtId="0" fontId="44" fillId="24" borderId="10" xfId="0" applyFont="1" applyFill="1" applyBorder="1" applyAlignment="1">
      <alignment horizontal="left" vertical="center" wrapText="1"/>
    </xf>
    <xf numFmtId="0" fontId="40" fillId="24" borderId="22" xfId="0" applyFont="1" applyFill="1" applyBorder="1" applyAlignment="1">
      <alignment horizontal="left" vertical="center" wrapText="1"/>
    </xf>
    <xf numFmtId="0" fontId="40" fillId="24" borderId="25" xfId="0" applyFont="1" applyFill="1" applyBorder="1" applyAlignment="1">
      <alignment horizontal="left" vertical="center" wrapText="1"/>
    </xf>
    <xf numFmtId="0" fontId="40" fillId="24" borderId="26" xfId="0" applyFont="1" applyFill="1" applyBorder="1" applyAlignment="1">
      <alignment horizontal="left" vertical="center" wrapText="1"/>
    </xf>
    <xf numFmtId="0" fontId="40" fillId="24" borderId="81" xfId="0" applyFont="1" applyFill="1" applyBorder="1" applyAlignment="1">
      <alignment horizontal="left" vertical="center" wrapText="1"/>
    </xf>
    <xf numFmtId="0" fontId="41" fillId="0" borderId="111" xfId="0" applyFont="1" applyBorder="1" applyAlignment="1">
      <alignment horizontal="center" vertical="center" wrapText="1"/>
    </xf>
    <xf numFmtId="0" fontId="41" fillId="0" borderId="91" xfId="0" applyFont="1" applyBorder="1" applyAlignment="1">
      <alignment horizontal="center" vertical="center" wrapText="1"/>
    </xf>
    <xf numFmtId="0" fontId="41" fillId="0" borderId="44" xfId="0" applyFont="1" applyBorder="1" applyAlignment="1">
      <alignment horizontal="center" vertical="center" wrapText="1"/>
    </xf>
    <xf numFmtId="49" fontId="43" fillId="0" borderId="17" xfId="0" applyNumberFormat="1" applyFont="1" applyBorder="1" applyAlignment="1">
      <alignment horizontal="left" vertical="center" wrapText="1"/>
    </xf>
    <xf numFmtId="49" fontId="43" fillId="0" borderId="0" xfId="0" applyNumberFormat="1" applyFont="1" applyAlignment="1">
      <alignment horizontal="center" vertical="center" wrapText="1"/>
    </xf>
    <xf numFmtId="0" fontId="39" fillId="28" borderId="143" xfId="0" applyFont="1" applyFill="1" applyBorder="1" applyAlignment="1" applyProtection="1">
      <alignment horizontal="center" vertical="center" wrapText="1"/>
      <protection locked="0"/>
    </xf>
    <xf numFmtId="0" fontId="39" fillId="28" borderId="144" xfId="0" applyFont="1" applyFill="1" applyBorder="1" applyAlignment="1" applyProtection="1">
      <alignment horizontal="center" vertical="center" wrapText="1"/>
      <protection locked="0"/>
    </xf>
    <xf numFmtId="0" fontId="39" fillId="28" borderId="81" xfId="0" applyFont="1" applyFill="1" applyBorder="1" applyAlignment="1" applyProtection="1">
      <alignment horizontal="center" vertical="center" wrapText="1"/>
      <protection locked="0"/>
    </xf>
    <xf numFmtId="0" fontId="39" fillId="28" borderId="91" xfId="0" applyFont="1" applyFill="1" applyBorder="1" applyAlignment="1" applyProtection="1">
      <alignment horizontal="center" vertical="center" wrapText="1"/>
      <protection locked="0"/>
    </xf>
    <xf numFmtId="0" fontId="39" fillId="28" borderId="106" xfId="0" applyFont="1" applyFill="1" applyBorder="1" applyAlignment="1" applyProtection="1">
      <alignment horizontal="center" vertical="center" wrapText="1"/>
      <protection locked="0"/>
    </xf>
    <xf numFmtId="0" fontId="39" fillId="28" borderId="130" xfId="0" applyFont="1" applyFill="1" applyBorder="1" applyAlignment="1" applyProtection="1">
      <alignment horizontal="center" vertical="center" wrapText="1"/>
      <protection locked="0"/>
    </xf>
    <xf numFmtId="0" fontId="39" fillId="24" borderId="0" xfId="0" applyFont="1" applyFill="1" applyAlignment="1">
      <alignment horizontal="left" vertical="top" wrapText="1"/>
    </xf>
    <xf numFmtId="49" fontId="39" fillId="26" borderId="12" xfId="0" applyNumberFormat="1" applyFont="1" applyFill="1" applyBorder="1" applyAlignment="1">
      <alignment horizontal="center" vertical="center" wrapText="1"/>
    </xf>
    <xf numFmtId="49" fontId="39" fillId="26" borderId="29" xfId="0" applyNumberFormat="1" applyFont="1" applyFill="1" applyBorder="1" applyAlignment="1">
      <alignment horizontal="center" vertical="center" wrapText="1"/>
    </xf>
    <xf numFmtId="49" fontId="39" fillId="26" borderId="11" xfId="0" applyNumberFormat="1" applyFont="1" applyFill="1" applyBorder="1" applyAlignment="1">
      <alignment horizontal="center" vertical="center" wrapText="1"/>
    </xf>
    <xf numFmtId="49" fontId="39" fillId="26" borderId="14" xfId="0" applyNumberFormat="1" applyFont="1" applyFill="1" applyBorder="1" applyAlignment="1">
      <alignment horizontal="center" vertical="center" wrapText="1"/>
    </xf>
    <xf numFmtId="49" fontId="39" fillId="26" borderId="93" xfId="0" applyNumberFormat="1" applyFont="1" applyFill="1" applyBorder="1" applyAlignment="1">
      <alignment horizontal="center" vertical="center" wrapText="1"/>
    </xf>
    <xf numFmtId="49" fontId="39" fillId="26" borderId="87" xfId="0" applyNumberFormat="1" applyFont="1" applyFill="1" applyBorder="1" applyAlignment="1">
      <alignment horizontal="center" vertical="center" wrapText="1"/>
    </xf>
    <xf numFmtId="0" fontId="39" fillId="0" borderId="14" xfId="0" applyFont="1" applyBorder="1" applyAlignment="1">
      <alignment horizontal="left" vertical="center" wrapText="1"/>
    </xf>
    <xf numFmtId="0" fontId="39" fillId="0" borderId="93" xfId="0" applyFont="1" applyBorder="1" applyAlignment="1">
      <alignment horizontal="left" vertical="center" wrapText="1"/>
    </xf>
    <xf numFmtId="49" fontId="39" fillId="0" borderId="10" xfId="0" applyNumberFormat="1" applyFont="1" applyBorder="1" applyAlignment="1">
      <alignment horizontal="left" vertical="center" wrapText="1"/>
    </xf>
    <xf numFmtId="49" fontId="39" fillId="0" borderId="12" xfId="0" applyNumberFormat="1" applyFont="1" applyBorder="1" applyAlignment="1">
      <alignment horizontal="left" vertical="center" wrapText="1"/>
    </xf>
    <xf numFmtId="0" fontId="51" fillId="26" borderId="22" xfId="0" applyFont="1" applyFill="1" applyBorder="1" applyAlignment="1">
      <alignment horizontal="center" vertical="center" wrapText="1"/>
    </xf>
    <xf numFmtId="0" fontId="51" fillId="26" borderId="25" xfId="0" applyFont="1" applyFill="1" applyBorder="1" applyAlignment="1">
      <alignment horizontal="center" vertical="center" wrapText="1"/>
    </xf>
    <xf numFmtId="0" fontId="51" fillId="26" borderId="26" xfId="0" applyFont="1" applyFill="1" applyBorder="1" applyAlignment="1">
      <alignment horizontal="center" vertical="center" wrapText="1"/>
    </xf>
    <xf numFmtId="0" fontId="50" fillId="26" borderId="22" xfId="0" applyFont="1" applyFill="1" applyBorder="1" applyAlignment="1">
      <alignment horizontal="center" vertical="center" wrapText="1"/>
    </xf>
    <xf numFmtId="0" fontId="50" fillId="26" borderId="25" xfId="0" applyFont="1" applyFill="1" applyBorder="1" applyAlignment="1">
      <alignment horizontal="center" vertical="center" wrapText="1"/>
    </xf>
    <xf numFmtId="0" fontId="50" fillId="26" borderId="26" xfId="0" applyFont="1" applyFill="1" applyBorder="1" applyAlignment="1">
      <alignment horizontal="center" vertical="center" wrapText="1"/>
    </xf>
    <xf numFmtId="0" fontId="49" fillId="24" borderId="12" xfId="0" applyFont="1" applyFill="1" applyBorder="1" applyAlignment="1">
      <alignment horizontal="left" vertical="center" wrapText="1"/>
    </xf>
    <xf numFmtId="0" fontId="49" fillId="24" borderId="12" xfId="0" applyFont="1" applyFill="1" applyBorder="1" applyAlignment="1">
      <alignment horizontal="left" vertical="center"/>
    </xf>
    <xf numFmtId="38" fontId="45" fillId="28" borderId="22" xfId="34" applyFont="1" applyFill="1" applyBorder="1" applyAlignment="1" applyProtection="1">
      <alignment vertical="center" shrinkToFit="1"/>
      <protection locked="0"/>
    </xf>
    <xf numFmtId="38" fontId="45" fillId="28" borderId="53" xfId="34" applyFont="1" applyFill="1" applyBorder="1" applyAlignment="1" applyProtection="1">
      <alignment vertical="center" shrinkToFit="1"/>
      <protection locked="0"/>
    </xf>
    <xf numFmtId="0" fontId="37" fillId="24" borderId="22" xfId="0" applyFont="1" applyFill="1" applyBorder="1" applyAlignment="1">
      <alignment horizontal="center" vertical="center"/>
    </xf>
    <xf numFmtId="0" fontId="37" fillId="24" borderId="53" xfId="0" applyFont="1" applyFill="1" applyBorder="1" applyAlignment="1">
      <alignment horizontal="center" vertical="center"/>
    </xf>
    <xf numFmtId="0" fontId="126" fillId="0" borderId="145" xfId="0" applyFont="1" applyBorder="1" applyAlignment="1">
      <alignment horizontal="center" vertical="center" wrapText="1"/>
    </xf>
    <xf numFmtId="0" fontId="126" fillId="0" borderId="145" xfId="0" applyFont="1" applyBorder="1" applyAlignment="1">
      <alignment horizontal="center" vertical="center"/>
    </xf>
    <xf numFmtId="0" fontId="41" fillId="24" borderId="0" xfId="0" applyFont="1" applyFill="1" applyAlignment="1">
      <alignment horizontal="left" vertical="top" wrapText="1"/>
    </xf>
    <xf numFmtId="49" fontId="37" fillId="24" borderId="0" xfId="0" applyNumberFormat="1" applyFont="1" applyFill="1" applyAlignment="1">
      <alignment vertical="center"/>
    </xf>
    <xf numFmtId="0" fontId="43" fillId="24" borderId="0" xfId="0" applyFont="1" applyFill="1" applyAlignment="1">
      <alignment horizontal="left" vertical="top" wrapText="1"/>
    </xf>
    <xf numFmtId="0" fontId="49" fillId="24" borderId="29" xfId="0" applyFont="1" applyFill="1" applyBorder="1" applyAlignment="1">
      <alignment horizontal="left" vertical="center"/>
    </xf>
    <xf numFmtId="38" fontId="45" fillId="0" borderId="14" xfId="34" applyFont="1" applyFill="1" applyBorder="1" applyAlignment="1" applyProtection="1">
      <alignment vertical="center" shrinkToFit="1"/>
    </xf>
    <xf numFmtId="0" fontId="40" fillId="25" borderId="57" xfId="0" applyFont="1" applyFill="1" applyBorder="1" applyAlignment="1">
      <alignment horizontal="center" vertical="center"/>
    </xf>
    <xf numFmtId="0" fontId="40" fillId="25" borderId="53" xfId="0" applyFont="1" applyFill="1" applyBorder="1" applyAlignment="1">
      <alignment horizontal="center" vertical="center"/>
    </xf>
    <xf numFmtId="0" fontId="43" fillId="0" borderId="0" xfId="0" applyFont="1" applyAlignment="1">
      <alignment horizontal="left" vertical="center"/>
    </xf>
    <xf numFmtId="0" fontId="42" fillId="24" borderId="0" xfId="0" applyFont="1" applyFill="1" applyAlignment="1">
      <alignment horizontal="center" vertical="center"/>
    </xf>
    <xf numFmtId="0" fontId="44" fillId="0" borderId="46" xfId="0" applyFont="1" applyBorder="1" applyAlignment="1">
      <alignment horizontal="center" vertical="center"/>
    </xf>
    <xf numFmtId="0" fontId="44" fillId="0" borderId="46" xfId="0" applyFont="1" applyBorder="1" applyAlignment="1">
      <alignment horizontal="left" vertical="center"/>
    </xf>
    <xf numFmtId="0" fontId="44" fillId="0" borderId="99" xfId="0" applyFont="1" applyBorder="1" applyAlignment="1">
      <alignment horizontal="left" vertical="center"/>
    </xf>
    <xf numFmtId="0" fontId="44" fillId="0" borderId="16" xfId="0" applyFont="1" applyBorder="1" applyAlignment="1">
      <alignment horizontal="center" vertical="center"/>
    </xf>
    <xf numFmtId="0" fontId="44" fillId="0" borderId="68" xfId="0" applyFont="1" applyBorder="1" applyAlignment="1">
      <alignment horizontal="left" vertical="center" wrapText="1"/>
    </xf>
    <xf numFmtId="0" fontId="44" fillId="0" borderId="136" xfId="0" applyFont="1" applyBorder="1" applyAlignment="1">
      <alignment horizontal="left" vertical="center" wrapText="1"/>
    </xf>
    <xf numFmtId="0" fontId="44" fillId="0" borderId="14" xfId="0" applyFont="1" applyBorder="1" applyAlignment="1">
      <alignment horizontal="center" vertical="center" wrapText="1"/>
    </xf>
    <xf numFmtId="0" fontId="44" fillId="0" borderId="13" xfId="0" applyFont="1" applyBorder="1" applyAlignment="1">
      <alignment horizontal="center" vertical="center"/>
    </xf>
    <xf numFmtId="0" fontId="44" fillId="0" borderId="10" xfId="0" applyFont="1" applyBorder="1" applyAlignment="1">
      <alignment horizontal="left" vertical="center"/>
    </xf>
    <xf numFmtId="0" fontId="44" fillId="0" borderId="16" xfId="0" applyFont="1" applyBorder="1" applyAlignment="1">
      <alignment horizontal="left" vertical="center"/>
    </xf>
    <xf numFmtId="0" fontId="44" fillId="0" borderId="39" xfId="0" applyFont="1" applyBorder="1" applyAlignment="1">
      <alignment horizontal="left" vertical="center"/>
    </xf>
    <xf numFmtId="0" fontId="49" fillId="24" borderId="17" xfId="0" applyFont="1" applyFill="1" applyBorder="1" applyAlignment="1">
      <alignment horizontal="left" vertical="center" wrapText="1"/>
    </xf>
    <xf numFmtId="181" fontId="45" fillId="28" borderId="22" xfId="34" applyNumberFormat="1" applyFont="1" applyFill="1" applyBorder="1" applyAlignment="1" applyProtection="1">
      <alignment horizontal="right" vertical="center" shrinkToFit="1"/>
      <protection locked="0"/>
    </xf>
    <xf numFmtId="0" fontId="44" fillId="0" borderId="12" xfId="0" applyFont="1" applyBorder="1" applyAlignment="1">
      <alignment horizontal="left" vertical="center" shrinkToFit="1"/>
    </xf>
    <xf numFmtId="0" fontId="44" fillId="0" borderId="10" xfId="0" applyFont="1" applyBorder="1" applyAlignment="1">
      <alignment horizontal="left" vertical="center" shrinkToFit="1"/>
    </xf>
    <xf numFmtId="0" fontId="30" fillId="24" borderId="0" xfId="0" applyFont="1" applyFill="1" applyAlignment="1">
      <alignment horizontal="left" vertical="top" wrapText="1"/>
    </xf>
    <xf numFmtId="0" fontId="39" fillId="26" borderId="12" xfId="0" applyFont="1" applyFill="1" applyBorder="1" applyAlignment="1">
      <alignment horizontal="left" vertical="center"/>
    </xf>
    <xf numFmtId="0" fontId="39" fillId="26" borderId="10" xfId="0" applyFont="1" applyFill="1" applyBorder="1" applyAlignment="1">
      <alignment horizontal="left" vertical="center"/>
    </xf>
    <xf numFmtId="181" fontId="45" fillId="0" borderId="14" xfId="34" applyNumberFormat="1" applyFont="1" applyFill="1" applyBorder="1" applyAlignment="1" applyProtection="1">
      <alignment horizontal="right" vertical="center" shrinkToFit="1"/>
    </xf>
    <xf numFmtId="0" fontId="44" fillId="0" borderId="46" xfId="0" applyFont="1" applyBorder="1" applyAlignment="1">
      <alignment horizontal="center" vertical="center" wrapText="1"/>
    </xf>
    <xf numFmtId="0" fontId="44" fillId="0" borderId="27" xfId="0" applyFont="1" applyBorder="1" applyAlignment="1">
      <alignment horizontal="center" vertical="center" wrapText="1"/>
    </xf>
    <xf numFmtId="0" fontId="44" fillId="0" borderId="68" xfId="0" applyFont="1" applyBorder="1" applyAlignment="1">
      <alignment horizontal="left" vertical="center"/>
    </xf>
    <xf numFmtId="0" fontId="44" fillId="0" borderId="136" xfId="0" applyFont="1" applyBorder="1" applyAlignment="1">
      <alignment horizontal="left" vertical="center"/>
    </xf>
    <xf numFmtId="0" fontId="44" fillId="0" borderId="10" xfId="0" applyFont="1" applyBorder="1" applyAlignment="1">
      <alignment horizontal="center" vertical="center"/>
    </xf>
    <xf numFmtId="0" fontId="44" fillId="0" borderId="11" xfId="0" applyFont="1" applyBorder="1" applyAlignment="1">
      <alignment horizontal="center" vertical="center"/>
    </xf>
    <xf numFmtId="0" fontId="44" fillId="0" borderId="12" xfId="0" applyFont="1" applyBorder="1" applyAlignment="1">
      <alignment horizontal="center" vertical="center"/>
    </xf>
    <xf numFmtId="0" fontId="96" fillId="0" borderId="94" xfId="0" applyFont="1" applyBorder="1" applyAlignment="1">
      <alignment horizontal="center" vertical="center"/>
    </xf>
    <xf numFmtId="0" fontId="99" fillId="0" borderId="94" xfId="0" applyFont="1" applyBorder="1" applyAlignment="1">
      <alignment horizontal="center" vertical="center" wrapText="1"/>
    </xf>
    <xf numFmtId="0" fontId="39" fillId="28" borderId="79" xfId="0" applyFont="1" applyFill="1" applyBorder="1" applyAlignment="1" applyProtection="1">
      <alignment horizontal="left" vertical="center" shrinkToFit="1"/>
      <protection locked="0"/>
    </xf>
    <xf numFmtId="0" fontId="50" fillId="24" borderId="48" xfId="0" applyFont="1" applyFill="1" applyBorder="1" applyAlignment="1">
      <alignment horizontal="left" vertical="center" wrapText="1"/>
    </xf>
    <xf numFmtId="0" fontId="43" fillId="24" borderId="0" xfId="0" applyFont="1" applyFill="1" applyAlignment="1">
      <alignment horizontal="left" vertical="center" wrapText="1"/>
    </xf>
    <xf numFmtId="0" fontId="43" fillId="24" borderId="0" xfId="0" applyFont="1" applyFill="1" applyAlignment="1">
      <alignment horizontal="left" vertical="center"/>
    </xf>
    <xf numFmtId="0" fontId="39" fillId="24" borderId="12" xfId="0" applyFont="1" applyFill="1" applyBorder="1" applyAlignment="1">
      <alignment horizontal="left" vertical="center" wrapText="1"/>
    </xf>
    <xf numFmtId="0" fontId="39" fillId="0" borderId="12" xfId="0" applyFont="1" applyBorder="1" applyAlignment="1">
      <alignment horizontal="left" vertical="center" wrapText="1"/>
    </xf>
    <xf numFmtId="0" fontId="40" fillId="24" borderId="22" xfId="0" applyFont="1" applyFill="1" applyBorder="1" applyAlignment="1">
      <alignment horizontal="left" vertical="center" shrinkToFit="1"/>
    </xf>
    <xf numFmtId="0" fontId="41" fillId="24" borderId="0" xfId="0" applyFont="1" applyFill="1" applyAlignment="1">
      <alignment vertical="center" wrapText="1"/>
    </xf>
    <xf numFmtId="0" fontId="110" fillId="29" borderId="0" xfId="0" applyFont="1" applyFill="1" applyAlignment="1" applyProtection="1">
      <alignment horizontal="center" vertical="center"/>
    </xf>
    <xf numFmtId="0" fontId="114" fillId="25" borderId="22" xfId="0" applyFont="1" applyFill="1" applyBorder="1" applyAlignment="1">
      <alignment horizontal="center" vertical="center"/>
    </xf>
    <xf numFmtId="0" fontId="114" fillId="25" borderId="26" xfId="0" applyFont="1" applyFill="1" applyBorder="1" applyAlignment="1">
      <alignment horizontal="center" vertical="center"/>
    </xf>
    <xf numFmtId="0" fontId="65" fillId="29" borderId="0" xfId="0" applyFont="1" applyFill="1" applyAlignment="1" applyProtection="1">
      <alignment horizontal="center" vertical="center"/>
    </xf>
    <xf numFmtId="0" fontId="35" fillId="24" borderId="12" xfId="0" applyFont="1" applyFill="1" applyBorder="1" applyAlignment="1">
      <alignment horizontal="left" vertical="center" wrapText="1"/>
    </xf>
    <xf numFmtId="0" fontId="35" fillId="24" borderId="29" xfId="0" applyFont="1" applyFill="1" applyBorder="1" applyAlignment="1">
      <alignment horizontal="left" vertical="center" wrapText="1"/>
    </xf>
    <xf numFmtId="0" fontId="35" fillId="24" borderId="11" xfId="0" applyFont="1" applyFill="1" applyBorder="1" applyAlignment="1">
      <alignment horizontal="left" vertical="center" wrapText="1"/>
    </xf>
    <xf numFmtId="176" fontId="56" fillId="24" borderId="12" xfId="0" applyNumberFormat="1" applyFont="1" applyFill="1" applyBorder="1" applyAlignment="1">
      <alignment horizontal="right" vertical="center" shrinkToFit="1"/>
    </xf>
    <xf numFmtId="176" fontId="56" fillId="24" borderId="11" xfId="0" applyNumberFormat="1" applyFont="1" applyFill="1" applyBorder="1" applyAlignment="1">
      <alignment horizontal="right" vertical="center" shrinkToFit="1"/>
    </xf>
    <xf numFmtId="0" fontId="112" fillId="24" borderId="12" xfId="0" applyFont="1" applyFill="1" applyBorder="1" applyAlignment="1">
      <alignment horizontal="left" vertical="center" wrapText="1"/>
    </xf>
    <xf numFmtId="0" fontId="112" fillId="24" borderId="29" xfId="0" applyFont="1" applyFill="1" applyBorder="1" applyAlignment="1">
      <alignment horizontal="left" vertical="center" wrapText="1"/>
    </xf>
    <xf numFmtId="0" fontId="112" fillId="24" borderId="38" xfId="0" applyFont="1" applyFill="1" applyBorder="1" applyAlignment="1">
      <alignment horizontal="left" vertical="center" wrapText="1"/>
    </xf>
    <xf numFmtId="0" fontId="33" fillId="0" borderId="40" xfId="0" applyFont="1" applyBorder="1" applyAlignment="1">
      <alignment horizontal="center" vertical="center" shrinkToFit="1"/>
    </xf>
    <xf numFmtId="0" fontId="33" fillId="0" borderId="21" xfId="0" applyFont="1" applyBorder="1" applyAlignment="1">
      <alignment horizontal="center" vertical="center" shrinkToFit="1"/>
    </xf>
    <xf numFmtId="0" fontId="33" fillId="0" borderId="56" xfId="0" applyFont="1" applyBorder="1" applyAlignment="1">
      <alignment horizontal="center" vertical="center" shrinkToFit="1"/>
    </xf>
    <xf numFmtId="0" fontId="42" fillId="24" borderId="43" xfId="0" applyFont="1" applyFill="1" applyBorder="1" applyAlignment="1">
      <alignment horizontal="center" vertical="center"/>
    </xf>
    <xf numFmtId="0" fontId="42" fillId="24" borderId="61" xfId="0" applyFont="1" applyFill="1" applyBorder="1" applyAlignment="1">
      <alignment horizontal="center" vertical="center" shrinkToFit="1"/>
    </xf>
    <xf numFmtId="0" fontId="42" fillId="24" borderId="45" xfId="0" applyFont="1" applyFill="1" applyBorder="1" applyAlignment="1">
      <alignment horizontal="center" vertical="center" shrinkToFit="1"/>
    </xf>
    <xf numFmtId="0" fontId="42" fillId="24" borderId="66" xfId="0" applyFont="1" applyFill="1" applyBorder="1" applyAlignment="1">
      <alignment horizontal="center" vertical="center" shrinkToFit="1"/>
    </xf>
    <xf numFmtId="0" fontId="42" fillId="24" borderId="27" xfId="0" applyFont="1" applyFill="1" applyBorder="1" applyAlignment="1">
      <alignment horizontal="center" vertical="center" shrinkToFit="1"/>
    </xf>
    <xf numFmtId="0" fontId="56" fillId="0" borderId="22" xfId="0" applyFont="1" applyBorder="1" applyAlignment="1" applyProtection="1">
      <alignment horizontal="center" vertical="center" wrapText="1"/>
    </xf>
    <xf numFmtId="0" fontId="56" fillId="0" borderId="26" xfId="0" applyFont="1" applyBorder="1" applyAlignment="1" applyProtection="1">
      <alignment horizontal="center" vertical="center" wrapText="1"/>
    </xf>
    <xf numFmtId="0" fontId="42" fillId="24" borderId="10" xfId="0" applyFont="1" applyFill="1" applyBorder="1" applyAlignment="1">
      <alignment horizontal="center" vertical="center"/>
    </xf>
    <xf numFmtId="0" fontId="42" fillId="24" borderId="12" xfId="0" applyFont="1" applyFill="1" applyBorder="1" applyAlignment="1">
      <alignment horizontal="center" vertical="center"/>
    </xf>
    <xf numFmtId="0" fontId="42" fillId="24" borderId="22" xfId="0" applyFont="1" applyFill="1" applyBorder="1" applyAlignment="1">
      <alignment horizontal="left" vertical="center"/>
    </xf>
    <xf numFmtId="0" fontId="42" fillId="24" borderId="25" xfId="0" applyFont="1" applyFill="1" applyBorder="1" applyAlignment="1">
      <alignment horizontal="left" vertical="center"/>
    </xf>
    <xf numFmtId="0" fontId="42" fillId="24" borderId="26" xfId="0" applyFont="1" applyFill="1" applyBorder="1" applyAlignment="1">
      <alignment horizontal="left" vertical="center"/>
    </xf>
    <xf numFmtId="0" fontId="35" fillId="24" borderId="14" xfId="0" applyFont="1" applyFill="1" applyBorder="1" applyAlignment="1">
      <alignment horizontal="left" vertical="center" wrapText="1"/>
    </xf>
    <xf numFmtId="0" fontId="35" fillId="24" borderId="93" xfId="0" applyFont="1" applyFill="1" applyBorder="1" applyAlignment="1">
      <alignment horizontal="left" vertical="center" wrapText="1"/>
    </xf>
    <xf numFmtId="0" fontId="35" fillId="24" borderId="87" xfId="0" applyFont="1" applyFill="1" applyBorder="1" applyAlignment="1">
      <alignment horizontal="left" vertical="center" wrapText="1"/>
    </xf>
    <xf numFmtId="0" fontId="0" fillId="24" borderId="93" xfId="0" applyFill="1" applyBorder="1" applyAlignment="1">
      <alignment horizontal="left" vertical="top" wrapText="1"/>
    </xf>
    <xf numFmtId="0" fontId="42" fillId="24" borderId="66" xfId="0" applyFont="1" applyFill="1" applyBorder="1" applyAlignment="1">
      <alignment horizontal="center" vertical="center" wrapText="1"/>
    </xf>
    <xf numFmtId="0" fontId="42" fillId="24" borderId="30" xfId="0" applyFont="1" applyFill="1" applyBorder="1" applyAlignment="1">
      <alignment horizontal="center" vertical="center"/>
    </xf>
    <xf numFmtId="0" fontId="42" fillId="24" borderId="67" xfId="0" applyFont="1" applyFill="1" applyBorder="1" applyAlignment="1">
      <alignment horizontal="center" vertical="center"/>
    </xf>
    <xf numFmtId="0" fontId="42" fillId="24" borderId="65" xfId="0" applyFont="1" applyFill="1" applyBorder="1" applyAlignment="1">
      <alignment horizontal="center" vertical="center"/>
    </xf>
    <xf numFmtId="0" fontId="42" fillId="24" borderId="79" xfId="0" applyFont="1" applyFill="1" applyBorder="1" applyAlignment="1">
      <alignment horizontal="center" vertical="center"/>
    </xf>
    <xf numFmtId="0" fontId="42" fillId="24" borderId="64" xfId="0" applyFont="1" applyFill="1" applyBorder="1" applyAlignment="1">
      <alignment horizontal="center" vertical="center"/>
    </xf>
    <xf numFmtId="0" fontId="42" fillId="24" borderId="85" xfId="0" applyFont="1" applyFill="1" applyBorder="1" applyAlignment="1">
      <alignment horizontal="center" vertical="center" wrapText="1"/>
    </xf>
    <xf numFmtId="0" fontId="42" fillId="24" borderId="71" xfId="0" applyFont="1" applyFill="1" applyBorder="1" applyAlignment="1">
      <alignment horizontal="center" vertical="center" wrapText="1"/>
    </xf>
    <xf numFmtId="0" fontId="42" fillId="24" borderId="40" xfId="0" applyFont="1" applyFill="1" applyBorder="1" applyAlignment="1">
      <alignment horizontal="center" vertical="center" wrapText="1"/>
    </xf>
    <xf numFmtId="0" fontId="42" fillId="24" borderId="56" xfId="0" applyFont="1" applyFill="1" applyBorder="1" applyAlignment="1">
      <alignment horizontal="center" vertical="center" wrapText="1"/>
    </xf>
    <xf numFmtId="0" fontId="38" fillId="24" borderId="61" xfId="0" applyFont="1" applyFill="1" applyBorder="1" applyAlignment="1">
      <alignment horizontal="center" vertical="center" wrapText="1"/>
    </xf>
    <xf numFmtId="0" fontId="38" fillId="24" borderId="45" xfId="0" applyFont="1" applyFill="1" applyBorder="1" applyAlignment="1">
      <alignment horizontal="center" vertical="center" wrapText="1"/>
    </xf>
    <xf numFmtId="49" fontId="38" fillId="24" borderId="66" xfId="0" applyNumberFormat="1" applyFont="1" applyFill="1" applyBorder="1" applyAlignment="1">
      <alignment horizontal="center" vertical="center" wrapText="1"/>
    </xf>
    <xf numFmtId="49" fontId="38" fillId="24" borderId="27" xfId="0" applyNumberFormat="1" applyFont="1" applyFill="1" applyBorder="1" applyAlignment="1">
      <alignment horizontal="center" vertical="center" wrapText="1"/>
    </xf>
    <xf numFmtId="0" fontId="42" fillId="24" borderId="57" xfId="0" applyFont="1" applyFill="1" applyBorder="1" applyAlignment="1">
      <alignment horizontal="center" vertical="center" wrapText="1"/>
    </xf>
    <xf numFmtId="0" fontId="42" fillId="24" borderId="76" xfId="0" applyFont="1" applyFill="1" applyBorder="1" applyAlignment="1">
      <alignment horizontal="center" vertical="center" wrapText="1"/>
    </xf>
    <xf numFmtId="0" fontId="42" fillId="24" borderId="32" xfId="0" applyFont="1" applyFill="1" applyBorder="1" applyAlignment="1">
      <alignment horizontal="center" vertical="center"/>
    </xf>
    <xf numFmtId="0" fontId="38" fillId="24" borderId="84" xfId="0" applyFont="1" applyFill="1" applyBorder="1" applyAlignment="1">
      <alignment horizontal="center" vertical="center" textRotation="255" wrapText="1"/>
    </xf>
    <xf numFmtId="0" fontId="38" fillId="24" borderId="82" xfId="0" applyFont="1" applyFill="1" applyBorder="1" applyAlignment="1">
      <alignment horizontal="center" vertical="center" textRotation="255" wrapText="1"/>
    </xf>
    <xf numFmtId="0" fontId="42" fillId="24" borderId="66" xfId="0" applyFont="1" applyFill="1" applyBorder="1" applyAlignment="1">
      <alignment horizontal="center" vertical="center" wrapText="1" shrinkToFit="1"/>
    </xf>
    <xf numFmtId="0" fontId="42" fillId="24" borderId="30" xfId="0" applyFont="1" applyFill="1" applyBorder="1" applyAlignment="1">
      <alignment horizontal="center" vertical="center" wrapText="1" shrinkToFit="1"/>
    </xf>
    <xf numFmtId="0" fontId="42" fillId="24" borderId="67" xfId="0" applyFont="1" applyFill="1" applyBorder="1" applyAlignment="1">
      <alignment horizontal="center" vertical="center" wrapText="1" shrinkToFit="1"/>
    </xf>
    <xf numFmtId="0" fontId="42" fillId="24" borderId="27" xfId="0" applyFont="1" applyFill="1" applyBorder="1" applyAlignment="1">
      <alignment horizontal="center" vertical="center" wrapText="1" shrinkToFit="1"/>
    </xf>
    <xf numFmtId="0" fontId="42" fillId="24" borderId="0" xfId="0" applyFont="1" applyFill="1" applyAlignment="1">
      <alignment horizontal="center" vertical="center" wrapText="1" shrinkToFit="1"/>
    </xf>
    <xf numFmtId="0" fontId="42" fillId="24" borderId="15" xfId="0" applyFont="1" applyFill="1" applyBorder="1" applyAlignment="1">
      <alignment horizontal="center" vertical="center" wrapText="1" shrinkToFit="1"/>
    </xf>
    <xf numFmtId="0" fontId="42" fillId="24" borderId="61" xfId="0" applyFont="1" applyFill="1" applyBorder="1" applyAlignment="1">
      <alignment horizontal="center" vertical="center" wrapText="1" shrinkToFit="1"/>
    </xf>
    <xf numFmtId="0" fontId="42" fillId="24" borderId="45" xfId="0" applyFont="1" applyFill="1" applyBorder="1" applyAlignment="1">
      <alignment horizontal="center" vertical="center" wrapText="1" shrinkToFit="1"/>
    </xf>
    <xf numFmtId="0" fontId="42" fillId="24" borderId="54" xfId="0" applyFont="1" applyFill="1" applyBorder="1" applyAlignment="1">
      <alignment horizontal="center" vertical="center" wrapText="1"/>
    </xf>
    <xf numFmtId="0" fontId="33" fillId="0" borderId="22" xfId="0" applyFont="1" applyBorder="1" applyAlignment="1">
      <alignment horizontal="center" vertical="center" shrinkToFit="1"/>
    </xf>
    <xf numFmtId="0" fontId="33" fillId="0" borderId="25" xfId="0" applyFont="1" applyBorder="1" applyAlignment="1">
      <alignment horizontal="center" vertical="center" shrinkToFit="1"/>
    </xf>
    <xf numFmtId="0" fontId="33" fillId="0" borderId="86" xfId="0" applyFont="1" applyBorder="1" applyAlignment="1">
      <alignment horizontal="center" vertical="center" shrinkToFit="1"/>
    </xf>
    <xf numFmtId="0" fontId="42" fillId="24" borderId="0" xfId="0" applyFont="1" applyFill="1" applyAlignment="1">
      <alignment horizontal="left" vertical="center" wrapText="1"/>
    </xf>
    <xf numFmtId="0" fontId="42" fillId="24" borderId="84" xfId="0" applyFont="1" applyFill="1" applyBorder="1" applyAlignment="1">
      <alignment horizontal="center" vertical="center" wrapText="1"/>
    </xf>
    <xf numFmtId="0" fontId="42" fillId="24" borderId="75" xfId="0" applyFont="1" applyFill="1" applyBorder="1" applyAlignment="1">
      <alignment horizontal="center" vertical="center" wrapText="1"/>
    </xf>
    <xf numFmtId="0" fontId="42" fillId="24" borderId="43" xfId="0" applyFont="1" applyFill="1" applyBorder="1" applyAlignment="1">
      <alignment horizontal="center" vertical="center" wrapText="1"/>
    </xf>
    <xf numFmtId="0" fontId="42" fillId="24" borderId="24" xfId="0" applyFont="1" applyFill="1" applyBorder="1" applyAlignment="1">
      <alignment horizontal="center" vertical="center"/>
    </xf>
    <xf numFmtId="49" fontId="0" fillId="24" borderId="10" xfId="0" applyNumberFormat="1" applyFill="1" applyBorder="1" applyAlignment="1">
      <alignment horizontal="center" vertical="center" wrapText="1"/>
    </xf>
    <xf numFmtId="176" fontId="56" fillId="24" borderId="10" xfId="0" applyNumberFormat="1" applyFont="1" applyFill="1" applyBorder="1" applyAlignment="1">
      <alignment horizontal="right" vertical="center" shrinkToFit="1"/>
    </xf>
    <xf numFmtId="0" fontId="35" fillId="24" borderId="14" xfId="0" applyFont="1" applyFill="1" applyBorder="1" applyAlignment="1">
      <alignment horizontal="center" vertical="center" wrapText="1"/>
    </xf>
    <xf numFmtId="0" fontId="35" fillId="24" borderId="93" xfId="0" applyFont="1" applyFill="1" applyBorder="1" applyAlignment="1">
      <alignment horizontal="center" vertical="center" wrapText="1"/>
    </xf>
    <xf numFmtId="0" fontId="35" fillId="24" borderId="87" xfId="0" applyFont="1" applyFill="1" applyBorder="1" applyAlignment="1">
      <alignment horizontal="center" vertical="center" wrapText="1"/>
    </xf>
    <xf numFmtId="0" fontId="35" fillId="24" borderId="12" xfId="0" applyFont="1" applyFill="1" applyBorder="1" applyAlignment="1">
      <alignment horizontal="center" vertical="center" wrapText="1"/>
    </xf>
    <xf numFmtId="0" fontId="35" fillId="24" borderId="29" xfId="0" applyFont="1" applyFill="1" applyBorder="1" applyAlignment="1">
      <alignment horizontal="center" vertical="center" wrapText="1"/>
    </xf>
    <xf numFmtId="0" fontId="35" fillId="24" borderId="11" xfId="0" applyFont="1" applyFill="1" applyBorder="1" applyAlignment="1">
      <alignment horizontal="center" vertical="center" wrapText="1"/>
    </xf>
    <xf numFmtId="0" fontId="35" fillId="24" borderId="12" xfId="0" applyFont="1" applyFill="1" applyBorder="1" applyAlignment="1">
      <alignment horizontal="center" vertical="center"/>
    </xf>
    <xf numFmtId="0" fontId="35" fillId="24" borderId="29" xfId="0" applyFont="1" applyFill="1" applyBorder="1" applyAlignment="1">
      <alignment horizontal="center" vertical="center"/>
    </xf>
    <xf numFmtId="0" fontId="35" fillId="24" borderId="11" xfId="0" applyFont="1" applyFill="1" applyBorder="1" applyAlignment="1">
      <alignment horizontal="center" vertical="center"/>
    </xf>
    <xf numFmtId="0" fontId="83" fillId="24" borderId="12" xfId="99" applyFont="1" applyFill="1" applyBorder="1" applyAlignment="1" applyProtection="1">
      <alignment horizontal="left" vertical="center" wrapText="1"/>
      <protection locked="0"/>
    </xf>
    <xf numFmtId="0" fontId="83" fillId="24" borderId="29" xfId="99" applyFont="1" applyFill="1" applyBorder="1" applyAlignment="1" applyProtection="1">
      <alignment horizontal="left" vertical="center" wrapText="1"/>
      <protection locked="0"/>
    </xf>
    <xf numFmtId="0" fontId="83" fillId="24" borderId="11" xfId="99" applyFont="1" applyFill="1" applyBorder="1" applyAlignment="1" applyProtection="1">
      <alignment horizontal="left" vertical="center" wrapText="1"/>
      <protection locked="0"/>
    </xf>
    <xf numFmtId="0" fontId="83" fillId="24" borderId="12" xfId="99" applyFont="1" applyFill="1" applyBorder="1" applyAlignment="1" applyProtection="1">
      <alignment horizontal="center" vertical="center"/>
      <protection locked="0"/>
    </xf>
    <xf numFmtId="0" fontId="83" fillId="24" borderId="11" xfId="99" applyFont="1" applyFill="1" applyBorder="1" applyAlignment="1" applyProtection="1">
      <alignment horizontal="center" vertical="center"/>
      <protection locked="0"/>
    </xf>
    <xf numFmtId="0" fontId="83" fillId="24" borderId="12" xfId="99" applyFont="1" applyFill="1" applyBorder="1" applyAlignment="1" applyProtection="1">
      <alignment horizontal="center" vertical="center" wrapText="1"/>
      <protection locked="0"/>
    </xf>
    <xf numFmtId="0" fontId="83" fillId="24" borderId="0" xfId="99" applyFont="1" applyFill="1" applyAlignment="1" applyProtection="1">
      <alignment horizontal="left" vertical="top" wrapText="1"/>
      <protection locked="0"/>
    </xf>
    <xf numFmtId="0" fontId="82" fillId="24" borderId="12" xfId="0" applyFont="1" applyFill="1" applyBorder="1" applyAlignment="1" applyProtection="1">
      <alignment horizontal="left" vertical="center" wrapText="1"/>
      <protection locked="0"/>
    </xf>
    <xf numFmtId="0" fontId="82" fillId="24" borderId="29" xfId="0" applyFont="1" applyFill="1" applyBorder="1" applyAlignment="1" applyProtection="1">
      <alignment horizontal="left" vertical="center" wrapText="1"/>
      <protection locked="0"/>
    </xf>
    <xf numFmtId="0" fontId="82" fillId="24" borderId="11" xfId="0" applyFont="1" applyFill="1" applyBorder="1" applyAlignment="1" applyProtection="1">
      <alignment horizontal="left" vertical="center" wrapText="1"/>
      <protection locked="0"/>
    </xf>
    <xf numFmtId="0" fontId="82" fillId="24" borderId="12" xfId="0" applyFont="1" applyFill="1" applyBorder="1" applyAlignment="1" applyProtection="1">
      <alignment horizontal="left" vertical="center"/>
      <protection locked="0"/>
    </xf>
    <xf numFmtId="0" fontId="82" fillId="24" borderId="29" xfId="0" applyFont="1" applyFill="1" applyBorder="1" applyAlignment="1" applyProtection="1">
      <alignment horizontal="left" vertical="center"/>
      <protection locked="0"/>
    </xf>
    <xf numFmtId="0" fontId="82" fillId="24" borderId="11" xfId="0" applyFont="1" applyFill="1" applyBorder="1" applyAlignment="1" applyProtection="1">
      <alignment horizontal="left" vertical="center"/>
      <protection locked="0"/>
    </xf>
    <xf numFmtId="0" fontId="88" fillId="24" borderId="0" xfId="0" applyFont="1" applyFill="1" applyAlignment="1" applyProtection="1">
      <alignment horizontal="left" vertical="center" wrapText="1"/>
      <protection locked="0"/>
    </xf>
    <xf numFmtId="0" fontId="82" fillId="24" borderId="10" xfId="0" applyFont="1" applyFill="1" applyBorder="1" applyAlignment="1" applyProtection="1">
      <alignment horizontal="center" vertical="center"/>
      <protection locked="0"/>
    </xf>
    <xf numFmtId="0" fontId="82" fillId="24" borderId="14" xfId="0" applyFont="1" applyFill="1" applyBorder="1" applyAlignment="1" applyProtection="1">
      <alignment horizontal="center" vertical="center" wrapText="1"/>
      <protection locked="0"/>
    </xf>
    <xf numFmtId="0" fontId="82" fillId="24" borderId="16" xfId="0" applyFont="1" applyFill="1" applyBorder="1" applyAlignment="1" applyProtection="1">
      <alignment horizontal="center" vertical="center" wrapText="1"/>
      <protection locked="0"/>
    </xf>
    <xf numFmtId="0" fontId="31" fillId="0" borderId="0" xfId="0" applyFont="1" applyAlignment="1">
      <alignment horizontal="left" vertical="center" wrapText="1"/>
    </xf>
    <xf numFmtId="0" fontId="31" fillId="0" borderId="0" xfId="0" applyFont="1" applyAlignment="1">
      <alignment horizontal="left" vertical="top" wrapText="1"/>
    </xf>
    <xf numFmtId="49" fontId="31" fillId="0" borderId="57" xfId="0" applyNumberFormat="1" applyFont="1" applyBorder="1" applyAlignment="1">
      <alignment horizontal="center" vertical="center"/>
    </xf>
    <xf numFmtId="49" fontId="31" fillId="0" borderId="76" xfId="0" applyNumberFormat="1" applyFont="1" applyBorder="1" applyAlignment="1">
      <alignment horizontal="center" vertical="center"/>
    </xf>
    <xf numFmtId="0" fontId="74" fillId="0" borderId="74" xfId="0" applyFont="1" applyBorder="1" applyAlignment="1">
      <alignment horizontal="center" vertical="center"/>
    </xf>
    <xf numFmtId="0" fontId="74" fillId="0" borderId="30" xfId="0" applyFont="1" applyBorder="1" applyAlignment="1">
      <alignment horizontal="center" vertical="center"/>
    </xf>
    <xf numFmtId="0" fontId="74" fillId="0" borderId="77" xfId="0" applyFont="1" applyBorder="1" applyAlignment="1">
      <alignment horizontal="center" vertical="center"/>
    </xf>
    <xf numFmtId="0" fontId="74" fillId="0" borderId="74" xfId="0" applyFont="1" applyBorder="1" applyAlignment="1">
      <alignment horizontal="center" vertical="center" wrapText="1"/>
    </xf>
    <xf numFmtId="0" fontId="74" fillId="0" borderId="78" xfId="0" applyFont="1" applyBorder="1" applyAlignment="1">
      <alignment horizontal="center" vertical="center" wrapText="1"/>
    </xf>
    <xf numFmtId="0" fontId="74" fillId="0" borderId="81" xfId="0" applyFont="1" applyBorder="1" applyAlignment="1">
      <alignment horizontal="center" vertical="center"/>
    </xf>
    <xf numFmtId="0" fontId="74" fillId="0" borderId="58" xfId="0" applyFont="1" applyBorder="1" applyAlignment="1">
      <alignment horizontal="center" vertical="center"/>
    </xf>
    <xf numFmtId="0" fontId="74" fillId="0" borderId="80" xfId="0" applyFont="1" applyBorder="1" applyAlignment="1">
      <alignment horizontal="center" vertical="center"/>
    </xf>
    <xf numFmtId="0" fontId="32" fillId="0" borderId="48" xfId="0" applyFont="1" applyBorder="1" applyAlignment="1">
      <alignment horizontal="center" vertical="center"/>
    </xf>
    <xf numFmtId="0" fontId="32" fillId="0" borderId="50" xfId="0" applyFont="1" applyBorder="1" applyAlignment="1">
      <alignment horizontal="center" vertical="center"/>
    </xf>
    <xf numFmtId="0" fontId="41" fillId="0" borderId="12" xfId="0" applyFont="1" applyBorder="1" applyAlignment="1" applyProtection="1">
      <alignment horizontal="center" vertical="center"/>
      <protection locked="0"/>
    </xf>
  </cellXfs>
  <cellStyles count="102">
    <cellStyle name="20% - アクセント 1" xfId="1" builtinId="30" customBuiltin="1"/>
    <cellStyle name="20% - アクセント 1 2" xfId="52" xr:uid="{890BDFB7-E042-40A4-8DC1-AD1E568C83FE}"/>
    <cellStyle name="20% - アクセント 2" xfId="2" builtinId="34" customBuiltin="1"/>
    <cellStyle name="20% - アクセント 2 2" xfId="53" xr:uid="{A93F60BB-CE08-4797-AE23-B534F13282BE}"/>
    <cellStyle name="20% - アクセント 3" xfId="3" builtinId="38" customBuiltin="1"/>
    <cellStyle name="20% - アクセント 3 2" xfId="54" xr:uid="{F66F9971-AA90-4C5B-B7A2-C7CA5C15976D}"/>
    <cellStyle name="20% - アクセント 4" xfId="4" builtinId="42" customBuiltin="1"/>
    <cellStyle name="20% - アクセント 4 2" xfId="55" xr:uid="{2B466ECC-942B-4991-9C9F-2BBDD2D5B754}"/>
    <cellStyle name="20% - アクセント 5" xfId="5" builtinId="46" customBuiltin="1"/>
    <cellStyle name="20% - アクセント 5 2" xfId="56" xr:uid="{B8961D37-298C-4A5C-9E2C-E11527A7B9AC}"/>
    <cellStyle name="20% - アクセント 6" xfId="6" builtinId="50" customBuiltin="1"/>
    <cellStyle name="20% - アクセント 6 2" xfId="57" xr:uid="{9CBD2526-C10D-4332-96EE-F0CCDEEE2F14}"/>
    <cellStyle name="40% - アクセント 1" xfId="7" builtinId="31" customBuiltin="1"/>
    <cellStyle name="40% - アクセント 1 2" xfId="58" xr:uid="{106D1D9E-1519-4420-9FEE-C90CD3F7C606}"/>
    <cellStyle name="40% - アクセント 2" xfId="8" builtinId="35" customBuiltin="1"/>
    <cellStyle name="40% - アクセント 2 2" xfId="59" xr:uid="{FFF19ACF-ADCD-4C41-A627-C188966A39F5}"/>
    <cellStyle name="40% - アクセント 3" xfId="9" builtinId="39" customBuiltin="1"/>
    <cellStyle name="40% - アクセント 3 2" xfId="60" xr:uid="{8473581D-A54A-4699-B310-8C17CEF109B6}"/>
    <cellStyle name="40% - アクセント 4" xfId="10" builtinId="43" customBuiltin="1"/>
    <cellStyle name="40% - アクセント 4 2" xfId="61" xr:uid="{5783AE6D-5BB3-451A-BFD1-EE9C7FCB8AA2}"/>
    <cellStyle name="40% - アクセント 5" xfId="11" builtinId="47" customBuiltin="1"/>
    <cellStyle name="40% - アクセント 5 2" xfId="62" xr:uid="{567B2048-2605-46F9-883E-4FE12F0B09E6}"/>
    <cellStyle name="40% - アクセント 6" xfId="12" builtinId="51" customBuiltin="1"/>
    <cellStyle name="40% - アクセント 6 2" xfId="63" xr:uid="{E159CC8F-A159-4B84-88E6-EB223A750A19}"/>
    <cellStyle name="60% - アクセント 1" xfId="13" builtinId="32" customBuiltin="1"/>
    <cellStyle name="60% - アクセント 1 2" xfId="64" xr:uid="{A0BD033B-82FD-4463-9B9E-998AF0152427}"/>
    <cellStyle name="60% - アクセント 2" xfId="14" builtinId="36" customBuiltin="1"/>
    <cellStyle name="60% - アクセント 2 2" xfId="65" xr:uid="{1A9A8DC4-BB17-4034-9952-459E4ACEFD31}"/>
    <cellStyle name="60% - アクセント 3" xfId="15" builtinId="40" customBuiltin="1"/>
    <cellStyle name="60% - アクセント 3 2" xfId="66" xr:uid="{099F04E3-0E6F-42D2-ABB7-DFC47D1EAA17}"/>
    <cellStyle name="60% - アクセント 4" xfId="16" builtinId="44" customBuiltin="1"/>
    <cellStyle name="60% - アクセント 4 2" xfId="67" xr:uid="{60B227EF-D021-485B-A011-B243C11BA2E0}"/>
    <cellStyle name="60% - アクセント 5" xfId="17" builtinId="48" customBuiltin="1"/>
    <cellStyle name="60% - アクセント 5 2" xfId="68" xr:uid="{91F2547D-4643-4AB1-B18A-868E6C072DD5}"/>
    <cellStyle name="60% - アクセント 6" xfId="18" builtinId="52" customBuiltin="1"/>
    <cellStyle name="60% - アクセント 6 2" xfId="69" xr:uid="{639ACBB3-F444-4498-B607-B04340A3022E}"/>
    <cellStyle name="アクセント 1" xfId="19" builtinId="29" customBuiltin="1"/>
    <cellStyle name="アクセント 1 2" xfId="70" xr:uid="{5D7E33B6-B32A-48C5-8010-D91FBDBB92A5}"/>
    <cellStyle name="アクセント 2" xfId="20" builtinId="33" customBuiltin="1"/>
    <cellStyle name="アクセント 2 2" xfId="71" xr:uid="{D5BD9AE2-C4E3-4DD0-B65B-EA6B98BB64C6}"/>
    <cellStyle name="アクセント 3" xfId="21" builtinId="37" customBuiltin="1"/>
    <cellStyle name="アクセント 3 2" xfId="72" xr:uid="{C2D2059D-AA49-46D4-8C9F-BC6FB034672E}"/>
    <cellStyle name="アクセント 4" xfId="22" builtinId="41" customBuiltin="1"/>
    <cellStyle name="アクセント 4 2" xfId="73" xr:uid="{BDC88D91-2384-4387-8E56-6902E68D2B73}"/>
    <cellStyle name="アクセント 5" xfId="23" builtinId="45" customBuiltin="1"/>
    <cellStyle name="アクセント 5 2" xfId="74" xr:uid="{81723CDC-CC1A-48B7-BA12-BE30D48F4AA6}"/>
    <cellStyle name="アクセント 6" xfId="24" builtinId="49" customBuiltin="1"/>
    <cellStyle name="アクセント 6 2" xfId="75" xr:uid="{7E02AF1E-F595-4DC6-AEEA-5FD7D06AF3FF}"/>
    <cellStyle name="タイトル" xfId="25" builtinId="15" customBuiltin="1"/>
    <cellStyle name="タイトル 2" xfId="76" xr:uid="{AEBDDFD0-1117-4301-A58A-AA7057A8BDB0}"/>
    <cellStyle name="チェック セル" xfId="26" builtinId="23" customBuiltin="1"/>
    <cellStyle name="チェック セル 2" xfId="77" xr:uid="{E00C3C2E-975C-4474-9BFA-85666D99A186}"/>
    <cellStyle name="どちらでもない" xfId="27" builtinId="28" customBuiltin="1"/>
    <cellStyle name="どちらでもない 2" xfId="78" xr:uid="{1EC0E63A-96D9-4367-BC73-DB5B60E4210C}"/>
    <cellStyle name="パーセント" xfId="28" builtinId="5"/>
    <cellStyle name="パーセント 2" xfId="50" xr:uid="{9568A852-D2E0-4E79-A360-978E2721C58E}"/>
    <cellStyle name="ハイパーリンク" xfId="48" builtinId="8"/>
    <cellStyle name="メモ" xfId="29" builtinId="10" customBuiltin="1"/>
    <cellStyle name="メモ 2" xfId="79" xr:uid="{D66D1D84-DDAE-419F-80E3-816D6F74F2DC}"/>
    <cellStyle name="リンク セル" xfId="30" builtinId="24" customBuiltin="1"/>
    <cellStyle name="リンク セル 2" xfId="80" xr:uid="{AE0E01AB-03E7-41FF-AA48-682E0DE1603F}"/>
    <cellStyle name="悪い" xfId="31" builtinId="27" customBuiltin="1"/>
    <cellStyle name="悪い 2" xfId="81" xr:uid="{66296596-0D6D-4FFE-BFCC-A03296E3D3A8}"/>
    <cellStyle name="計算" xfId="32" builtinId="22" customBuiltin="1"/>
    <cellStyle name="計算 2" xfId="82" xr:uid="{ABA2BC2A-612C-4683-86A7-0E68486E7DB8}"/>
    <cellStyle name="警告文" xfId="33" builtinId="11" customBuiltin="1"/>
    <cellStyle name="警告文 2" xfId="83" xr:uid="{439AEB0F-6F59-4E70-839B-4892FDE90935}"/>
    <cellStyle name="桁区切り" xfId="34" builtinId="6"/>
    <cellStyle name="桁区切り 2" xfId="49" xr:uid="{0BF3C154-9D88-494C-BB91-3E5884B0D5AD}"/>
    <cellStyle name="見出し 1" xfId="35" builtinId="16" customBuiltin="1"/>
    <cellStyle name="見出し 1 2" xfId="84" xr:uid="{8833C4CA-DFA0-4C07-9CF1-C51EB173B2C7}"/>
    <cellStyle name="見出し 2" xfId="36" builtinId="17" customBuiltin="1"/>
    <cellStyle name="見出し 2 2" xfId="85" xr:uid="{421295FD-9DAE-48E1-9ABF-52073BE1D76E}"/>
    <cellStyle name="見出し 3" xfId="37" builtinId="18" customBuiltin="1"/>
    <cellStyle name="見出し 3 2" xfId="86" xr:uid="{0CC6F667-E5F7-4EFB-819C-7B49F342B057}"/>
    <cellStyle name="見出し 4" xfId="38" builtinId="19" customBuiltin="1"/>
    <cellStyle name="見出し 4 2" xfId="87" xr:uid="{8B2B353B-152F-4F31-AA3D-C1C74717DC5F}"/>
    <cellStyle name="集計" xfId="39" builtinId="25" customBuiltin="1"/>
    <cellStyle name="集計 2" xfId="88" xr:uid="{7F965B74-40CA-4441-82EC-B9AB3904725A}"/>
    <cellStyle name="出力" xfId="40" builtinId="21" customBuiltin="1"/>
    <cellStyle name="出力 2" xfId="89" xr:uid="{7B0B005B-0606-407F-8459-F3554BA0DEBF}"/>
    <cellStyle name="説明文" xfId="41" builtinId="53" customBuiltin="1"/>
    <cellStyle name="説明文 2" xfId="90" xr:uid="{9B009CA0-7C98-42A6-BADE-2E2203D4453B}"/>
    <cellStyle name="入力" xfId="42" builtinId="20" customBuiltin="1"/>
    <cellStyle name="入力 2" xfId="91" xr:uid="{85031E38-0BB7-4EE2-9A76-83BA3DAB1251}"/>
    <cellStyle name="標準" xfId="0" builtinId="0"/>
    <cellStyle name="標準 10" xfId="97" xr:uid="{1BCF5761-1A35-4AE9-AC38-094C542953D5}"/>
    <cellStyle name="標準 2" xfId="43" xr:uid="{00000000-0005-0000-0000-00002C000000}"/>
    <cellStyle name="標準 2 2" xfId="51" xr:uid="{A0853B3B-BCC8-4669-935F-844BC3DDFBA4}"/>
    <cellStyle name="標準 2 3" xfId="92" xr:uid="{A5712C89-75E4-4F14-A7A7-8FECC186F7F6}"/>
    <cellStyle name="標準 2 4" xfId="99" xr:uid="{8620657A-A4F5-4ADC-A24D-000E9EEE2631}"/>
    <cellStyle name="標準 3" xfId="45" xr:uid="{00000000-0005-0000-0000-00002D000000}"/>
    <cellStyle name="標準 3 2" xfId="46" xr:uid="{00000000-0005-0000-0000-00002E000000}"/>
    <cellStyle name="標準 3 2 2" xfId="95" xr:uid="{D5F3183E-9E31-4B66-BFDE-D91A7DAE6598}"/>
    <cellStyle name="標準 3 3" xfId="47" xr:uid="{00000000-0005-0000-0000-00002F000000}"/>
    <cellStyle name="標準 3 3 2" xfId="96" xr:uid="{BE0DD03E-4068-4C0E-9DCB-6D942BE4C709}"/>
    <cellStyle name="標準 3 4" xfId="94" xr:uid="{C9F854C4-7861-4B74-A330-DC5426C63A2D}"/>
    <cellStyle name="標準 4" xfId="98" xr:uid="{E5873792-03DC-4186-B7D2-B4E4CA67CF45}"/>
    <cellStyle name="標準 4 2" xfId="101" xr:uid="{CFDEEEB1-F18C-4814-B926-812F1404DEF6}"/>
    <cellStyle name="標準 5" xfId="100" xr:uid="{928B4A22-1114-4090-BFFF-7F358399B1AB}"/>
    <cellStyle name="良い" xfId="44" builtinId="26" customBuiltin="1"/>
    <cellStyle name="良い 2" xfId="93" xr:uid="{9CA78D28-FBEC-4696-A5A9-2E7962BDE85F}"/>
  </cellStyles>
  <dxfs count="76">
    <dxf>
      <fill>
        <patternFill>
          <bgColor theme="9" tint="0.79998168889431442"/>
        </patternFill>
      </fill>
    </dxf>
    <dxf>
      <fill>
        <patternFill>
          <bgColor theme="0"/>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theme="0" tint="-0.34998626667073579"/>
        </patternFill>
      </fill>
    </dxf>
    <dxf>
      <fill>
        <patternFill>
          <bgColor theme="9" tint="0.79998168889431442"/>
        </patternFill>
      </fill>
    </dxf>
    <dxf>
      <fill>
        <patternFill>
          <bgColor theme="1" tint="0.499984740745262"/>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ill>
        <patternFill>
          <bgColor theme="1" tint="0.499984740745262"/>
        </patternFill>
      </fill>
    </dxf>
    <dxf>
      <font>
        <color theme="0" tint="-4.9989318521683403E-2"/>
      </font>
      <fill>
        <patternFill>
          <bgColor theme="0" tint="-4.9989318521683403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style="thin">
          <color theme="1" tint="0.499984740745262"/>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right/>
        <top/>
        <bottom/>
      </border>
    </dxf>
    <dxf>
      <font>
        <color rgb="FFA0A0A0"/>
      </font>
      <fill>
        <patternFill>
          <bgColor rgb="FFA0A0A0"/>
        </patternFill>
      </fill>
      <border>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right/>
        <top/>
        <bottom/>
        <vertical/>
        <horizontal/>
      </border>
    </dxf>
    <dxf>
      <font>
        <color rgb="FFA0A0A0"/>
      </font>
      <fill>
        <patternFill>
          <bgColor rgb="FFA0A0A0"/>
        </patternFill>
      </fill>
      <border>
        <right/>
        <top/>
        <bottom/>
        <vertical/>
        <horizontal/>
      </border>
    </dxf>
    <dxf>
      <font>
        <color rgb="FFA0A0A0"/>
      </font>
      <fill>
        <patternFill>
          <bgColor rgb="FFA0A0A0"/>
        </patternFill>
      </fill>
      <border>
        <right/>
        <top/>
        <bottom/>
        <vertical/>
        <horizontal/>
      </border>
    </dxf>
    <dxf>
      <font>
        <color rgb="FFA0A0A0"/>
      </font>
      <fill>
        <patternFill>
          <bgColor rgb="FFA0A0A0"/>
        </patternFill>
      </fill>
      <border>
        <right/>
        <top/>
        <bottom/>
        <vertical/>
        <horizontal/>
      </border>
    </dxf>
    <dxf>
      <font>
        <color rgb="FFA0A0A0"/>
      </font>
      <fill>
        <patternFill>
          <bgColor rgb="FFA0A0A0"/>
        </patternFill>
      </fill>
      <border>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ont>
        <color theme="0" tint="-4.9989318521683403E-2"/>
      </font>
      <fill>
        <patternFill>
          <fgColor theme="0" tint="-4.9989318521683403E-2"/>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ill>
        <patternFill>
          <fgColor theme="0" tint="-4.9989318521683403E-2"/>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ont>
        <color theme="2" tint="-9.9948118533890809E-2"/>
      </font>
      <fill>
        <patternFill patternType="solid">
          <bgColor theme="2" tint="-9.9948118533890809E-2"/>
        </patternFill>
      </fill>
      <border>
        <right/>
        <top/>
        <bottom/>
        <vertical/>
        <horizontal/>
      </border>
    </dxf>
    <dxf>
      <font>
        <color theme="0" tint="-4.9989318521683403E-2"/>
      </font>
      <fill>
        <patternFill>
          <bgColor theme="0" tint="-4.9989318521683403E-2"/>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dxf>
    <dxf>
      <fill>
        <patternFill>
          <bgColor rgb="FFFFFFCC"/>
        </patternFill>
      </fill>
    </dxf>
  </dxfs>
  <tableStyles count="0" defaultTableStyle="TableStyleMedium2" defaultPivotStyle="PivotStyleLight16"/>
  <colors>
    <mruColors>
      <color rgb="FFA0A0A0"/>
      <color rgb="FFFFF2CC"/>
      <color rgb="FFFFFFCC"/>
      <color rgb="FFFFDB9B"/>
      <color rgb="FFCCFFFF"/>
      <color rgb="FFFBC497"/>
      <color rgb="FFFFE5FC"/>
      <color rgb="FFFFFF99"/>
      <color rgb="FFCCFFCC"/>
      <color rgb="FFFFE2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styles" Target="styles.xml" />
  <Relationship Id="rId13" Type="http://schemas.openxmlformats.org/officeDocument/2006/relationships/customXml" Target="../customXml/item2.xml" />
  <Relationship Id="rId3" Type="http://schemas.openxmlformats.org/officeDocument/2006/relationships/worksheet" Target="worksheets/sheet3.xml" />
  <Relationship Id="rId7" Type="http://schemas.openxmlformats.org/officeDocument/2006/relationships/theme" Target="theme/theme1.xml" />
  <Relationship Id="rId12" Type="http://schemas.openxmlformats.org/officeDocument/2006/relationships/customXml" Target="../customXml/item1.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worksheet" Target="worksheets/sheet6.xml" />
  <Relationship Id="rId11" Type="http://schemas.openxmlformats.org/officeDocument/2006/relationships/calcChain" Target="calcChain.xml" />
  <Relationship Id="rId5" Type="http://schemas.openxmlformats.org/officeDocument/2006/relationships/worksheet" Target="worksheets/sheet5.xml" />
  <Relationship Id="rId10" Type="http://schemas.openxmlformats.org/officeDocument/2006/relationships/sheetMetadata" Target="metadata.xml" />
  <Relationship Id="rId4" Type="http://schemas.openxmlformats.org/officeDocument/2006/relationships/worksheet" Target="worksheets/sheet4.xml" />
  <Relationship Id="rId9" Type="http://schemas.openxmlformats.org/officeDocument/2006/relationships/sharedStrings" Target="sharedStrings.xml" />
  <Relationship Id="rId14" Type="http://schemas.openxmlformats.org/officeDocument/2006/relationships/customXml" Target="../customXml/item3.xml" />
</Relationships>
</file>

<file path=xl/ctrlProps/ctrlProp1.xml><?xml version="1.0" encoding="utf-8"?>
<formControlPr xmlns="http://schemas.microsoft.com/office/spreadsheetml/2009/9/main" objectType="CheckBox" fmlaLink="$BA$107" noThreeD="1"/>
</file>

<file path=xl/ctrlProps/ctrlProp10.xml><?xml version="1.0" encoding="utf-8"?>
<formControlPr xmlns="http://schemas.microsoft.com/office/spreadsheetml/2009/9/main" objectType="CheckBox" fmlaLink="$BA$48" lockText="1" noThreeD="1"/>
</file>

<file path=xl/ctrlProps/ctrlProp11.xml><?xml version="1.0" encoding="utf-8"?>
<formControlPr xmlns="http://schemas.microsoft.com/office/spreadsheetml/2009/9/main" objectType="CheckBox" fmlaLink="$BA$112" lockText="1" noThreeD="1"/>
</file>

<file path=xl/ctrlProps/ctrlProp2.xml><?xml version="1.0" encoding="utf-8"?>
<formControlPr xmlns="http://schemas.microsoft.com/office/spreadsheetml/2009/9/main" objectType="CheckBox" fmlaLink="$BA$108" lockText="1" noThreeD="1"/>
</file>

<file path=xl/ctrlProps/ctrlProp3.xml><?xml version="1.0" encoding="utf-8"?>
<formControlPr xmlns="http://schemas.microsoft.com/office/spreadsheetml/2009/9/main" objectType="CheckBox" fmlaLink="$BA$109" lockText="1" noThreeD="1"/>
</file>

<file path=xl/ctrlProps/ctrlProp4.xml><?xml version="1.0" encoding="utf-8"?>
<formControlPr xmlns="http://schemas.microsoft.com/office/spreadsheetml/2009/9/main" objectType="CheckBox" fmlaLink="$BA$110" lockText="1" noThreeD="1"/>
</file>

<file path=xl/ctrlProps/ctrlProp5.xml><?xml version="1.0" encoding="utf-8"?>
<formControlPr xmlns="http://schemas.microsoft.com/office/spreadsheetml/2009/9/main" objectType="CheckBox" fmlaLink="$BA$111" lockText="1" noThreeD="1"/>
</file>

<file path=xl/ctrlProps/ctrlProp6.xml><?xml version="1.0" encoding="utf-8"?>
<formControlPr xmlns="http://schemas.microsoft.com/office/spreadsheetml/2009/9/main" objectType="CheckBox" fmlaLink="$BA$113" lockText="1" noThreeD="1"/>
</file>

<file path=xl/ctrlProps/ctrlProp7.xml><?xml version="1.0" encoding="utf-8"?>
<formControlPr xmlns="http://schemas.microsoft.com/office/spreadsheetml/2009/9/main" objectType="CheckBox" fmlaLink="$BA$45" lockText="1" noThreeD="1"/>
</file>

<file path=xl/ctrlProps/ctrlProp8.xml><?xml version="1.0" encoding="utf-8"?>
<formControlPr xmlns="http://schemas.microsoft.com/office/spreadsheetml/2009/9/main" objectType="CheckBox" fmlaLink="$BA$46" lockText="1" noThreeD="1"/>
</file>

<file path=xl/ctrlProps/ctrlProp9.xml><?xml version="1.0" encoding="utf-8"?>
<formControlPr xmlns="http://schemas.microsoft.com/office/spreadsheetml/2009/9/main" objectType="CheckBox" fmlaLink="$BA$47" lockText="1" noThreeD="1"/>
</file>

<file path=xl/drawings/drawing1.xml><?xml version="1.0" encoding="utf-8"?>
<xdr:wsDr xmlns:xdr="http://schemas.openxmlformats.org/drawingml/2006/spreadsheetDrawing" xmlns:a="http://schemas.openxmlformats.org/drawingml/2006/main">
  <xdr:twoCellAnchor>
    <xdr:from>
      <xdr:col>21</xdr:col>
      <xdr:colOff>8196</xdr:colOff>
      <xdr:row>5</xdr:row>
      <xdr:rowOff>81304</xdr:rowOff>
    </xdr:from>
    <xdr:to>
      <xdr:col>21</xdr:col>
      <xdr:colOff>503055</xdr:colOff>
      <xdr:row>6</xdr:row>
      <xdr:rowOff>79181</xdr:rowOff>
    </xdr:to>
    <xdr:sp macro="" textlink="">
      <xdr:nvSpPr>
        <xdr:cNvPr id="91" name="矢印: 右 12">
          <a:extLst>
            <a:ext uri="{FF2B5EF4-FFF2-40B4-BE49-F238E27FC236}">
              <a16:creationId xmlns:a16="http://schemas.microsoft.com/office/drawing/2014/main" id="{00000000-0008-0000-0000-00000D000000}"/>
            </a:ext>
          </a:extLst>
        </xdr:cNvPr>
        <xdr:cNvSpPr/>
      </xdr:nvSpPr>
      <xdr:spPr bwMode="auto">
        <a:xfrm>
          <a:off x="2261066" y="2011152"/>
          <a:ext cx="494859" cy="246355"/>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104848</xdr:colOff>
      <xdr:row>4</xdr:row>
      <xdr:rowOff>223721</xdr:rowOff>
    </xdr:from>
    <xdr:to>
      <xdr:col>14</xdr:col>
      <xdr:colOff>17063</xdr:colOff>
      <xdr:row>6</xdr:row>
      <xdr:rowOff>185242</xdr:rowOff>
    </xdr:to>
    <xdr:sp macro="" textlink="">
      <xdr:nvSpPr>
        <xdr:cNvPr id="74" name="四角形: 角を丸くする 13">
          <a:extLst>
            <a:ext uri="{FF2B5EF4-FFF2-40B4-BE49-F238E27FC236}">
              <a16:creationId xmlns:a16="http://schemas.microsoft.com/office/drawing/2014/main" id="{00000000-0008-0000-0000-00000E000000}"/>
            </a:ext>
          </a:extLst>
        </xdr:cNvPr>
        <xdr:cNvSpPr/>
      </xdr:nvSpPr>
      <xdr:spPr bwMode="auto">
        <a:xfrm>
          <a:off x="104848" y="1905091"/>
          <a:ext cx="1229150" cy="458477"/>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000" b="1">
              <a:solidFill>
                <a:sysClr val="windowText" lastClr="000000"/>
              </a:solidFill>
            </a:rPr>
            <a:t>入力及び提出の流れ</a:t>
          </a:r>
        </a:p>
      </xdr:txBody>
    </xdr:sp>
    <xdr:clientData/>
  </xdr:twoCellAnchor>
  <xdr:twoCellAnchor>
    <xdr:from>
      <xdr:col>34</xdr:col>
      <xdr:colOff>205061</xdr:colOff>
      <xdr:row>0</xdr:row>
      <xdr:rowOff>348028</xdr:rowOff>
    </xdr:from>
    <xdr:to>
      <xdr:col>36</xdr:col>
      <xdr:colOff>82428</xdr:colOff>
      <xdr:row>3</xdr:row>
      <xdr:rowOff>109903</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bwMode="auto">
        <a:xfrm>
          <a:off x="11772441" y="348028"/>
          <a:ext cx="2597487" cy="915865"/>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ja-JP" altLang="en-US" sz="900"/>
            <a:t>　</a:t>
          </a:r>
          <a:r>
            <a:rPr kumimoji="1" lang="en-US" altLang="ja-JP" sz="900"/>
            <a:t>【</a:t>
          </a:r>
          <a:r>
            <a:rPr kumimoji="1" lang="ja-JP" altLang="en-US" sz="900"/>
            <a:t>凡例</a:t>
          </a:r>
          <a:r>
            <a:rPr kumimoji="1" lang="en-US" altLang="ja-JP" sz="900"/>
            <a:t>】</a:t>
          </a:r>
          <a:r>
            <a:rPr kumimoji="1" lang="ja-JP" altLang="en-US" sz="900"/>
            <a:t>（基本情報入力シート）</a:t>
          </a:r>
          <a:endParaRPr kumimoji="1" lang="en-US" altLang="ja-JP" sz="900"/>
        </a:p>
        <a:p>
          <a:pPr algn="l"/>
          <a:r>
            <a:rPr kumimoji="1" lang="ja-JP" altLang="en-US" sz="900"/>
            <a:t>　　色付きのセルに必要事項を入力してください。</a:t>
          </a:r>
          <a:endParaRPr kumimoji="1" lang="en-US" altLang="ja-JP" sz="900"/>
        </a:p>
        <a:p>
          <a:pPr algn="l"/>
          <a:r>
            <a:rPr kumimoji="1" lang="en-US" altLang="ja-JP" sz="900"/>
            <a:t> </a:t>
          </a:r>
          <a:r>
            <a:rPr kumimoji="1" lang="ja-JP" altLang="en-US" sz="900"/>
            <a:t>　　　　　　　　　</a:t>
          </a:r>
          <a:r>
            <a:rPr kumimoji="1" lang="ja-JP" altLang="ja-JP" sz="1100">
              <a:solidFill>
                <a:schemeClr val="dk1"/>
              </a:solidFill>
              <a:effectLst/>
              <a:latin typeface="+mn-lt"/>
              <a:ea typeface="+mn-ea"/>
              <a:cs typeface="+mn-cs"/>
            </a:rPr>
            <a:t>入力セル　　</a:t>
          </a:r>
          <a:endParaRPr kumimoji="1" lang="en-US" altLang="ja-JP" sz="900"/>
        </a:p>
      </xdr:txBody>
    </xdr:sp>
    <xdr:clientData/>
  </xdr:twoCellAnchor>
  <xdr:twoCellAnchor>
    <xdr:from>
      <xdr:col>31</xdr:col>
      <xdr:colOff>106413</xdr:colOff>
      <xdr:row>0</xdr:row>
      <xdr:rowOff>112595</xdr:rowOff>
    </xdr:from>
    <xdr:to>
      <xdr:col>32</xdr:col>
      <xdr:colOff>452502</xdr:colOff>
      <xdr:row>0</xdr:row>
      <xdr:rowOff>432160</xdr:rowOff>
    </xdr:to>
    <xdr:sp macro="" textlink="">
      <xdr:nvSpPr>
        <xdr:cNvPr id="24" name="テキスト ボックス 1">
          <a:extLst>
            <a:ext uri="{FF2B5EF4-FFF2-40B4-BE49-F238E27FC236}">
              <a16:creationId xmlns:a16="http://schemas.microsoft.com/office/drawing/2014/main" id="{D47E1DA3-1EFE-5575-6A77-6E02EB5E32C3}"/>
            </a:ext>
          </a:extLst>
        </xdr:cNvPr>
        <xdr:cNvSpPr txBox="1"/>
      </xdr:nvSpPr>
      <xdr:spPr>
        <a:xfrm>
          <a:off x="6094739" y="112595"/>
          <a:ext cx="901024" cy="31956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別紙様式２</a:t>
          </a:r>
          <a:endParaRPr kumimoji="1" lang="ja-JP" altLang="en-US" sz="1000" b="1"/>
        </a:p>
      </xdr:txBody>
    </xdr:sp>
    <xdr:clientData/>
  </xdr:twoCellAnchor>
  <xdr:twoCellAnchor>
    <xdr:from>
      <xdr:col>34</xdr:col>
      <xdr:colOff>408022</xdr:colOff>
      <xdr:row>1</xdr:row>
      <xdr:rowOff>364265</xdr:rowOff>
    </xdr:from>
    <xdr:to>
      <xdr:col>34</xdr:col>
      <xdr:colOff>860914</xdr:colOff>
      <xdr:row>2</xdr:row>
      <xdr:rowOff>128221</xdr:rowOff>
    </xdr:to>
    <xdr:sp macro="" textlink="">
      <xdr:nvSpPr>
        <xdr:cNvPr id="42" name="正方形/長方形 41">
          <a:extLst>
            <a:ext uri="{FF2B5EF4-FFF2-40B4-BE49-F238E27FC236}">
              <a16:creationId xmlns:a16="http://schemas.microsoft.com/office/drawing/2014/main" id="{1E9C3DA8-A28A-415A-9C7E-1CD316621A8C}"/>
            </a:ext>
          </a:extLst>
        </xdr:cNvPr>
        <xdr:cNvSpPr/>
      </xdr:nvSpPr>
      <xdr:spPr bwMode="auto">
        <a:xfrm>
          <a:off x="11975402" y="913784"/>
          <a:ext cx="452892" cy="130302"/>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15431</xdr:colOff>
      <xdr:row>4</xdr:row>
      <xdr:rowOff>76575</xdr:rowOff>
    </xdr:from>
    <xdr:to>
      <xdr:col>20</xdr:col>
      <xdr:colOff>65439</xdr:colOff>
      <xdr:row>7</xdr:row>
      <xdr:rowOff>85815</xdr:rowOff>
    </xdr:to>
    <xdr:sp macro="" textlink="">
      <xdr:nvSpPr>
        <xdr:cNvPr id="73" name="テキスト ボックス 5">
          <a:extLst>
            <a:ext uri="{FF2B5EF4-FFF2-40B4-BE49-F238E27FC236}">
              <a16:creationId xmlns:a16="http://schemas.microsoft.com/office/drawing/2014/main" id="{74089B8D-F178-49CF-A17B-007F95272A61}"/>
            </a:ext>
          </a:extLst>
        </xdr:cNvPr>
        <xdr:cNvSpPr txBox="1"/>
      </xdr:nvSpPr>
      <xdr:spPr>
        <a:xfrm>
          <a:off x="1411462" y="1756174"/>
          <a:ext cx="740752" cy="750881"/>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基本情報</a:t>
          </a:r>
          <a:endParaRPr lang="ja-JP" altLang="ja-JP" sz="900" b="1">
            <a:effectLst/>
          </a:endParaRPr>
        </a:p>
        <a:p>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endParaRPr kumimoji="1" lang="en-US" altLang="ja-JP" sz="900" b="1">
            <a:solidFill>
              <a:schemeClr val="dk1"/>
            </a:solidFill>
            <a:effectLst/>
            <a:latin typeface="+mn-lt"/>
            <a:ea typeface="+mn-ea"/>
            <a:cs typeface="+mn-cs"/>
          </a:endParaRPr>
        </a:p>
      </xdr:txBody>
    </xdr:sp>
    <xdr:clientData/>
  </xdr:twoCellAnchor>
  <xdr:twoCellAnchor>
    <xdr:from>
      <xdr:col>22</xdr:col>
      <xdr:colOff>79673</xdr:colOff>
      <xdr:row>4</xdr:row>
      <xdr:rowOff>79432</xdr:rowOff>
    </xdr:from>
    <xdr:to>
      <xdr:col>23</xdr:col>
      <xdr:colOff>146037</xdr:colOff>
      <xdr:row>7</xdr:row>
      <xdr:rowOff>81052</xdr:rowOff>
    </xdr:to>
    <xdr:sp macro="" textlink="">
      <xdr:nvSpPr>
        <xdr:cNvPr id="86" name="テキスト ボックス 14">
          <a:extLst>
            <a:ext uri="{FF2B5EF4-FFF2-40B4-BE49-F238E27FC236}">
              <a16:creationId xmlns:a16="http://schemas.microsoft.com/office/drawing/2014/main" id="{EC8E1CFD-E0F5-4E8F-95D1-4127E94ED44F}"/>
            </a:ext>
          </a:extLst>
        </xdr:cNvPr>
        <xdr:cNvSpPr txBox="1"/>
      </xdr:nvSpPr>
      <xdr:spPr>
        <a:xfrm>
          <a:off x="2846064" y="1760802"/>
          <a:ext cx="1068560" cy="74705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２－２</a:t>
          </a:r>
        </a:p>
        <a:p>
          <a:r>
            <a:rPr kumimoji="1" lang="ja-JP" altLang="en-US" sz="900" b="1">
              <a:solidFill>
                <a:schemeClr val="dk1"/>
              </a:solidFill>
              <a:effectLst/>
              <a:latin typeface="+mn-lt"/>
              <a:ea typeface="+mn-ea"/>
              <a:cs typeface="+mn-cs"/>
            </a:rPr>
            <a:t>（個票（４，５月））</a:t>
          </a:r>
        </a:p>
      </xdr:txBody>
    </xdr:sp>
    <xdr:clientData/>
  </xdr:twoCellAnchor>
  <xdr:twoCellAnchor>
    <xdr:from>
      <xdr:col>29</xdr:col>
      <xdr:colOff>646707</xdr:colOff>
      <xdr:row>4</xdr:row>
      <xdr:rowOff>55477</xdr:rowOff>
    </xdr:from>
    <xdr:to>
      <xdr:col>30</xdr:col>
      <xdr:colOff>343394</xdr:colOff>
      <xdr:row>7</xdr:row>
      <xdr:rowOff>105007</xdr:rowOff>
    </xdr:to>
    <xdr:sp macro="" textlink="">
      <xdr:nvSpPr>
        <xdr:cNvPr id="101" name="テキスト ボックス 19">
          <a:extLst>
            <a:ext uri="{FF2B5EF4-FFF2-40B4-BE49-F238E27FC236}">
              <a16:creationId xmlns:a16="http://schemas.microsoft.com/office/drawing/2014/main" id="{18CC21A7-2EDB-4BAB-BB33-C32A8F93B0F7}"/>
            </a:ext>
            <a:ext uri="{147F2762-F138-4A5C-976F-8EAC2B608ADB}">
              <a16:predDERef xmlns:a16="http://schemas.microsoft.com/office/drawing/2014/main" pred="{EC8E1CFD-E0F5-4E8F-95D1-4127E94ED44F}"/>
            </a:ext>
          </a:extLst>
        </xdr:cNvPr>
        <xdr:cNvSpPr txBox="1"/>
      </xdr:nvSpPr>
      <xdr:spPr>
        <a:xfrm>
          <a:off x="7836011" y="1736847"/>
          <a:ext cx="541513" cy="79496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提出</a:t>
          </a:r>
        </a:p>
      </xdr:txBody>
    </xdr:sp>
    <xdr:clientData/>
  </xdr:twoCellAnchor>
  <xdr:twoCellAnchor>
    <xdr:from>
      <xdr:col>23</xdr:col>
      <xdr:colOff>241891</xdr:colOff>
      <xdr:row>5</xdr:row>
      <xdr:rowOff>78446</xdr:rowOff>
    </xdr:from>
    <xdr:to>
      <xdr:col>24</xdr:col>
      <xdr:colOff>20636</xdr:colOff>
      <xdr:row>6</xdr:row>
      <xdr:rowOff>82038</xdr:rowOff>
    </xdr:to>
    <xdr:sp macro="" textlink="">
      <xdr:nvSpPr>
        <xdr:cNvPr id="2" name="矢印: 右 12">
          <a:extLst>
            <a:ext uri="{FF2B5EF4-FFF2-40B4-BE49-F238E27FC236}">
              <a16:creationId xmlns:a16="http://schemas.microsoft.com/office/drawing/2014/main" id="{C24D7D6A-47ED-46BD-93A1-3FE76E8CE008}"/>
            </a:ext>
          </a:extLst>
        </xdr:cNvPr>
        <xdr:cNvSpPr/>
      </xdr:nvSpPr>
      <xdr:spPr bwMode="auto">
        <a:xfrm>
          <a:off x="4010478" y="2008294"/>
          <a:ext cx="491049" cy="25207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24</xdr:col>
      <xdr:colOff>116490</xdr:colOff>
      <xdr:row>4</xdr:row>
      <xdr:rowOff>77527</xdr:rowOff>
    </xdr:from>
    <xdr:to>
      <xdr:col>26</xdr:col>
      <xdr:colOff>211409</xdr:colOff>
      <xdr:row>7</xdr:row>
      <xdr:rowOff>82957</xdr:rowOff>
    </xdr:to>
    <xdr:sp macro="" textlink="">
      <xdr:nvSpPr>
        <xdr:cNvPr id="7" name="テキスト ボックス 14">
          <a:extLst>
            <a:ext uri="{FF2B5EF4-FFF2-40B4-BE49-F238E27FC236}">
              <a16:creationId xmlns:a16="http://schemas.microsoft.com/office/drawing/2014/main" id="{FA1224D1-F4D2-4B2E-A1B2-565505E5A801}"/>
            </a:ext>
          </a:extLst>
        </xdr:cNvPr>
        <xdr:cNvSpPr txBox="1"/>
      </xdr:nvSpPr>
      <xdr:spPr>
        <a:xfrm>
          <a:off x="4597381" y="1758897"/>
          <a:ext cx="1130245" cy="75086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２－３</a:t>
          </a:r>
        </a:p>
        <a:p>
          <a:r>
            <a:rPr kumimoji="1" lang="ja-JP" altLang="en-US" sz="900" b="1">
              <a:solidFill>
                <a:schemeClr val="dk1"/>
              </a:solidFill>
              <a:effectLst/>
              <a:latin typeface="+mn-lt"/>
              <a:ea typeface="+mn-ea"/>
              <a:cs typeface="+mn-cs"/>
            </a:rPr>
            <a:t>（個票（６月以降））</a:t>
          </a:r>
        </a:p>
      </xdr:txBody>
    </xdr:sp>
    <xdr:clientData/>
  </xdr:twoCellAnchor>
  <xdr:twoCellAnchor>
    <xdr:from>
      <xdr:col>26</xdr:col>
      <xdr:colOff>307263</xdr:colOff>
      <xdr:row>5</xdr:row>
      <xdr:rowOff>82256</xdr:rowOff>
    </xdr:from>
    <xdr:to>
      <xdr:col>27</xdr:col>
      <xdr:colOff>59254</xdr:colOff>
      <xdr:row>6</xdr:row>
      <xdr:rowOff>78228</xdr:rowOff>
    </xdr:to>
    <xdr:sp macro="" textlink="">
      <xdr:nvSpPr>
        <xdr:cNvPr id="10" name="矢印: 右 12">
          <a:extLst>
            <a:ext uri="{FF2B5EF4-FFF2-40B4-BE49-F238E27FC236}">
              <a16:creationId xmlns:a16="http://schemas.microsoft.com/office/drawing/2014/main" id="{F6BD55AC-D391-4ADC-89DF-A30DAF3EB083}"/>
            </a:ext>
          </a:extLst>
        </xdr:cNvPr>
        <xdr:cNvSpPr/>
      </xdr:nvSpPr>
      <xdr:spPr bwMode="auto">
        <a:xfrm>
          <a:off x="5823480" y="2012104"/>
          <a:ext cx="489144" cy="24445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27</xdr:col>
      <xdr:colOff>155108</xdr:colOff>
      <xdr:row>4</xdr:row>
      <xdr:rowOff>78480</xdr:rowOff>
    </xdr:from>
    <xdr:to>
      <xdr:col>28</xdr:col>
      <xdr:colOff>160161</xdr:colOff>
      <xdr:row>7</xdr:row>
      <xdr:rowOff>82005</xdr:rowOff>
    </xdr:to>
    <xdr:sp macro="" textlink="">
      <xdr:nvSpPr>
        <xdr:cNvPr id="11" name="テキスト ボックス 14">
          <a:extLst>
            <a:ext uri="{FF2B5EF4-FFF2-40B4-BE49-F238E27FC236}">
              <a16:creationId xmlns:a16="http://schemas.microsoft.com/office/drawing/2014/main" id="{047BC7C6-C322-43F3-8E36-CCAB677BF9A3}"/>
            </a:ext>
          </a:extLst>
        </xdr:cNvPr>
        <xdr:cNvSpPr txBox="1"/>
      </xdr:nvSpPr>
      <xdr:spPr>
        <a:xfrm>
          <a:off x="6408478" y="1759850"/>
          <a:ext cx="750487" cy="748959"/>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２－１</a:t>
          </a:r>
        </a:p>
        <a:p>
          <a:r>
            <a:rPr kumimoji="1" lang="ja-JP" altLang="en-US" sz="900" b="1">
              <a:solidFill>
                <a:schemeClr val="dk1"/>
              </a:solidFill>
              <a:effectLst/>
              <a:latin typeface="+mn-lt"/>
              <a:ea typeface="+mn-ea"/>
              <a:cs typeface="+mn-cs"/>
            </a:rPr>
            <a:t>（総括表）</a:t>
          </a:r>
        </a:p>
      </xdr:txBody>
    </xdr:sp>
    <xdr:clientData/>
  </xdr:twoCellAnchor>
  <xdr:twoCellAnchor>
    <xdr:from>
      <xdr:col>29</xdr:col>
      <xdr:colOff>55990</xdr:colOff>
      <xdr:row>5</xdr:row>
      <xdr:rowOff>80351</xdr:rowOff>
    </xdr:from>
    <xdr:to>
      <xdr:col>29</xdr:col>
      <xdr:colOff>550849</xdr:colOff>
      <xdr:row>6</xdr:row>
      <xdr:rowOff>80133</xdr:rowOff>
    </xdr:to>
    <xdr:sp macro="" textlink="">
      <xdr:nvSpPr>
        <xdr:cNvPr id="12" name="矢印: 右 12">
          <a:extLst>
            <a:ext uri="{FF2B5EF4-FFF2-40B4-BE49-F238E27FC236}">
              <a16:creationId xmlns:a16="http://schemas.microsoft.com/office/drawing/2014/main" id="{38568889-DE19-4733-8F35-09B1B6515745}"/>
            </a:ext>
          </a:extLst>
        </xdr:cNvPr>
        <xdr:cNvSpPr/>
      </xdr:nvSpPr>
      <xdr:spPr bwMode="auto">
        <a:xfrm>
          <a:off x="7245294" y="2010199"/>
          <a:ext cx="494859" cy="24826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98</xdr:row>
          <xdr:rowOff>0</xdr:rowOff>
        </xdr:from>
        <xdr:to>
          <xdr:col>6</xdr:col>
          <xdr:colOff>15240</xdr:colOff>
          <xdr:row>98</xdr:row>
          <xdr:rowOff>20955</xdr:rowOff>
        </xdr:to>
        <xdr:grpSp>
          <xdr:nvGrpSpPr>
            <xdr:cNvPr id="2" name="Group 41">
              <a:extLst>
                <a:ext uri="{FF2B5EF4-FFF2-40B4-BE49-F238E27FC236}">
                  <a16:creationId xmlns:a16="http://schemas.microsoft.com/office/drawing/2014/main" id="{40880615-2E98-4617-ADE8-48507AA742CF}"/>
                </a:ext>
              </a:extLst>
            </xdr:cNvPr>
            <xdr:cNvGrpSpPr>
              <a:grpSpLocks/>
            </xdr:cNvGrpSpPr>
          </xdr:nvGrpSpPr>
          <xdr:grpSpPr bwMode="auto">
            <a:xfrm>
              <a:off x="1057053" y="25097267"/>
              <a:ext cx="165425" cy="209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52</xdr:row>
          <xdr:rowOff>0</xdr:rowOff>
        </xdr:from>
        <xdr:to>
          <xdr:col>6</xdr:col>
          <xdr:colOff>15240</xdr:colOff>
          <xdr:row>53</xdr:row>
          <xdr:rowOff>0</xdr:rowOff>
        </xdr:to>
        <xdr:grpSp>
          <xdr:nvGrpSpPr>
            <xdr:cNvPr id="12" name="Group 41">
              <a:extLst>
                <a:ext uri="{FF2B5EF4-FFF2-40B4-BE49-F238E27FC236}">
                  <a16:creationId xmlns:a16="http://schemas.microsoft.com/office/drawing/2014/main" id="{3AC0A684-23B5-4B69-B20D-6D0B0E008E8A}"/>
                </a:ext>
              </a:extLst>
            </xdr:cNvPr>
            <xdr:cNvGrpSpPr>
              <a:grpSpLocks/>
            </xdr:cNvGrpSpPr>
          </xdr:nvGrpSpPr>
          <xdr:grpSpPr bwMode="auto">
            <a:xfrm>
              <a:off x="1057053" y="11507529"/>
              <a:ext cx="165425" cy="29904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20</xdr:row>
          <xdr:rowOff>0</xdr:rowOff>
        </xdr:from>
        <xdr:to>
          <xdr:col>6</xdr:col>
          <xdr:colOff>15240</xdr:colOff>
          <xdr:row>39</xdr:row>
          <xdr:rowOff>0</xdr:rowOff>
        </xdr:to>
        <xdr:grpSp>
          <xdr:nvGrpSpPr>
            <xdr:cNvPr id="4" name="Group 41">
              <a:extLst>
                <a:ext uri="{FF2B5EF4-FFF2-40B4-BE49-F238E27FC236}">
                  <a16:creationId xmlns:a16="http://schemas.microsoft.com/office/drawing/2014/main" id="{702A5EA1-8CE0-4D1A-8DB2-9C215EA80F83}"/>
                </a:ext>
              </a:extLst>
            </xdr:cNvPr>
            <xdr:cNvGrpSpPr>
              <a:grpSpLocks/>
            </xdr:cNvGrpSpPr>
          </xdr:nvGrpSpPr>
          <xdr:grpSpPr bwMode="auto">
            <a:xfrm>
              <a:off x="1057053" y="4563140"/>
              <a:ext cx="165425" cy="420872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1287</xdr:rowOff>
        </xdr:from>
        <xdr:to>
          <xdr:col>6</xdr:col>
          <xdr:colOff>15240</xdr:colOff>
          <xdr:row>98</xdr:row>
          <xdr:rowOff>0</xdr:rowOff>
        </xdr:to>
        <xdr:grpSp>
          <xdr:nvGrpSpPr>
            <xdr:cNvPr id="5" name="Group 41">
              <a:extLst>
                <a:ext uri="{FF2B5EF4-FFF2-40B4-BE49-F238E27FC236}">
                  <a16:creationId xmlns:a16="http://schemas.microsoft.com/office/drawing/2014/main" id="{A6B3FE87-40BF-49F8-8394-CEA7F27A06A5}"/>
                </a:ext>
              </a:extLst>
            </xdr:cNvPr>
            <xdr:cNvGrpSpPr>
              <a:grpSpLocks/>
            </xdr:cNvGrpSpPr>
          </xdr:nvGrpSpPr>
          <xdr:grpSpPr bwMode="auto">
            <a:xfrm>
              <a:off x="1057053" y="23891316"/>
              <a:ext cx="165425" cy="120595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51</xdr:row>
          <xdr:rowOff>0</xdr:rowOff>
        </xdr:from>
        <xdr:to>
          <xdr:col>6</xdr:col>
          <xdr:colOff>15240</xdr:colOff>
          <xdr:row>51</xdr:row>
          <xdr:rowOff>74734</xdr:rowOff>
        </xdr:to>
        <xdr:grpSp>
          <xdr:nvGrpSpPr>
            <xdr:cNvPr id="6" name="Group 41">
              <a:extLst>
                <a:ext uri="{FF2B5EF4-FFF2-40B4-BE49-F238E27FC236}">
                  <a16:creationId xmlns:a16="http://schemas.microsoft.com/office/drawing/2014/main" id="{794668DB-7E5E-4CCA-A924-795210A41A1C}"/>
                </a:ext>
              </a:extLst>
            </xdr:cNvPr>
            <xdr:cNvGrpSpPr>
              <a:grpSpLocks/>
            </xdr:cNvGrpSpPr>
          </xdr:nvGrpSpPr>
          <xdr:grpSpPr bwMode="auto">
            <a:xfrm>
              <a:off x="1057053" y="11430000"/>
              <a:ext cx="165425" cy="747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98</xdr:row>
          <xdr:rowOff>0</xdr:rowOff>
        </xdr:from>
        <xdr:to>
          <xdr:col>6</xdr:col>
          <xdr:colOff>15240</xdr:colOff>
          <xdr:row>103</xdr:row>
          <xdr:rowOff>2484</xdr:rowOff>
        </xdr:to>
        <xdr:grpSp>
          <xdr:nvGrpSpPr>
            <xdr:cNvPr id="3" name="Group 41">
              <a:extLst>
                <a:ext uri="{FF2B5EF4-FFF2-40B4-BE49-F238E27FC236}">
                  <a16:creationId xmlns:a16="http://schemas.microsoft.com/office/drawing/2014/main" id="{2BB9E789-0BAD-4485-92B6-D4CAA108786A}"/>
                </a:ext>
              </a:extLst>
            </xdr:cNvPr>
            <xdr:cNvGrpSpPr>
              <a:grpSpLocks/>
            </xdr:cNvGrpSpPr>
          </xdr:nvGrpSpPr>
          <xdr:grpSpPr bwMode="auto">
            <a:xfrm>
              <a:off x="1057053" y="25097267"/>
              <a:ext cx="165425" cy="216222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112</xdr:row>
          <xdr:rowOff>0</xdr:rowOff>
        </xdr:from>
        <xdr:to>
          <xdr:col>2</xdr:col>
          <xdr:colOff>15240</xdr:colOff>
          <xdr:row>114</xdr:row>
          <xdr:rowOff>2899</xdr:rowOff>
        </xdr:to>
        <xdr:grpSp>
          <xdr:nvGrpSpPr>
            <xdr:cNvPr id="8" name="Group 41">
              <a:extLst>
                <a:ext uri="{FF2B5EF4-FFF2-40B4-BE49-F238E27FC236}">
                  <a16:creationId xmlns:a16="http://schemas.microsoft.com/office/drawing/2014/main" id="{2FFB0E9C-514A-4735-95FA-B149013BE429}"/>
                </a:ext>
              </a:extLst>
            </xdr:cNvPr>
            <xdr:cNvGrpSpPr>
              <a:grpSpLocks/>
            </xdr:cNvGrpSpPr>
          </xdr:nvGrpSpPr>
          <xdr:grpSpPr bwMode="auto">
            <a:xfrm>
              <a:off x="204234" y="30668285"/>
              <a:ext cx="220803" cy="37946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112</xdr:row>
          <xdr:rowOff>0</xdr:rowOff>
        </xdr:from>
        <xdr:to>
          <xdr:col>2</xdr:col>
          <xdr:colOff>15240</xdr:colOff>
          <xdr:row>114</xdr:row>
          <xdr:rowOff>2899</xdr:rowOff>
        </xdr:to>
        <xdr:grpSp>
          <xdr:nvGrpSpPr>
            <xdr:cNvPr id="9" name="Group 41">
              <a:extLst>
                <a:ext uri="{FF2B5EF4-FFF2-40B4-BE49-F238E27FC236}">
                  <a16:creationId xmlns:a16="http://schemas.microsoft.com/office/drawing/2014/main" id="{C8D6EF1D-7A52-44D9-B3E6-201418C3B2DF}"/>
                </a:ext>
              </a:extLst>
            </xdr:cNvPr>
            <xdr:cNvGrpSpPr>
              <a:grpSpLocks/>
            </xdr:cNvGrpSpPr>
          </xdr:nvGrpSpPr>
          <xdr:grpSpPr bwMode="auto">
            <a:xfrm>
              <a:off x="204234" y="30668285"/>
              <a:ext cx="220803" cy="379469"/>
              <a:chOff x="9239" y="107537"/>
              <a:chExt cx="2190" cy="12573"/>
            </a:xfrm>
          </xdr:grpSpPr>
        </xdr:grpSp>
        <xdr:clientData/>
      </xdr:twoCellAnchor>
    </mc:Choice>
    <mc:Fallback/>
  </mc:AlternateContent>
  <xdr:twoCellAnchor>
    <xdr:from>
      <xdr:col>1</xdr:col>
      <xdr:colOff>95249</xdr:colOff>
      <xdr:row>44</xdr:row>
      <xdr:rowOff>17318</xdr:rowOff>
    </xdr:from>
    <xdr:to>
      <xdr:col>1</xdr:col>
      <xdr:colOff>168401</xdr:colOff>
      <xdr:row>47</xdr:row>
      <xdr:rowOff>138222</xdr:rowOff>
    </xdr:to>
    <xdr:sp macro="" textlink="">
      <xdr:nvSpPr>
        <xdr:cNvPr id="10" name="左大かっこ 9">
          <a:extLst>
            <a:ext uri="{FF2B5EF4-FFF2-40B4-BE49-F238E27FC236}">
              <a16:creationId xmlns:a16="http://schemas.microsoft.com/office/drawing/2014/main" id="{82D2D356-51A3-42F5-90F4-C458B13A52B6}"/>
            </a:ext>
          </a:extLst>
        </xdr:cNvPr>
        <xdr:cNvSpPr/>
      </xdr:nvSpPr>
      <xdr:spPr bwMode="auto">
        <a:xfrm>
          <a:off x="240029" y="12201698"/>
          <a:ext cx="73152" cy="875284"/>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552821</xdr:colOff>
      <xdr:row>15</xdr:row>
      <xdr:rowOff>92177</xdr:rowOff>
    </xdr:from>
    <xdr:to>
      <xdr:col>19</xdr:col>
      <xdr:colOff>145679</xdr:colOff>
      <xdr:row>15</xdr:row>
      <xdr:rowOff>276532</xdr:rowOff>
    </xdr:to>
    <xdr:sp macro="" textlink="">
      <xdr:nvSpPr>
        <xdr:cNvPr id="11" name="テキスト ボックス 10">
          <a:extLst>
            <a:ext uri="{FF2B5EF4-FFF2-40B4-BE49-F238E27FC236}">
              <a16:creationId xmlns:a16="http://schemas.microsoft.com/office/drawing/2014/main" id="{86391C58-5299-48FF-861F-5CE8F8A8A693}"/>
            </a:ext>
          </a:extLst>
        </xdr:cNvPr>
        <xdr:cNvSpPr txBox="1"/>
      </xdr:nvSpPr>
      <xdr:spPr>
        <a:xfrm>
          <a:off x="3090867" y="3597377"/>
          <a:ext cx="735858"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549011</xdr:colOff>
      <xdr:row>16</xdr:row>
      <xdr:rowOff>151339</xdr:rowOff>
    </xdr:from>
    <xdr:to>
      <xdr:col>17</xdr:col>
      <xdr:colOff>164856</xdr:colOff>
      <xdr:row>16</xdr:row>
      <xdr:rowOff>311394</xdr:rowOff>
    </xdr:to>
    <xdr:sp macro="" textlink="">
      <xdr:nvSpPr>
        <xdr:cNvPr id="14" name="テキスト ボックス 13">
          <a:extLst>
            <a:ext uri="{FF2B5EF4-FFF2-40B4-BE49-F238E27FC236}">
              <a16:creationId xmlns:a16="http://schemas.microsoft.com/office/drawing/2014/main" id="{100D6570-945B-499D-8323-287EEACD1A7E}"/>
            </a:ext>
          </a:extLst>
        </xdr:cNvPr>
        <xdr:cNvSpPr txBox="1"/>
      </xdr:nvSpPr>
      <xdr:spPr>
        <a:xfrm>
          <a:off x="3131751" y="4025450"/>
          <a:ext cx="339379"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0</xdr:col>
          <xdr:colOff>133350</xdr:colOff>
          <xdr:row>106</xdr:row>
          <xdr:rowOff>133350</xdr:rowOff>
        </xdr:from>
        <xdr:to>
          <xdr:col>1</xdr:col>
          <xdr:colOff>190500</xdr:colOff>
          <xdr:row>106</xdr:row>
          <xdr:rowOff>457200</xdr:rowOff>
        </xdr:to>
        <xdr:sp macro="" textlink="">
          <xdr:nvSpPr>
            <xdr:cNvPr id="106499" name="Check Box 3" hidden="1">
              <a:extLst>
                <a:ext uri="{63B3BB69-23CF-44E3-9099-C40C66FF867C}">
                  <a14:compatExt spid="_x0000_s106499"/>
                </a:ext>
                <a:ext uri="{FF2B5EF4-FFF2-40B4-BE49-F238E27FC236}">
                  <a16:creationId xmlns:a16="http://schemas.microsoft.com/office/drawing/2014/main" id="{00000000-0008-0000-0100-000003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107</xdr:row>
          <xdr:rowOff>19050</xdr:rowOff>
        </xdr:from>
        <xdr:to>
          <xdr:col>2</xdr:col>
          <xdr:colOff>9525</xdr:colOff>
          <xdr:row>108</xdr:row>
          <xdr:rowOff>19050</xdr:rowOff>
        </xdr:to>
        <xdr:sp macro="" textlink="">
          <xdr:nvSpPr>
            <xdr:cNvPr id="106500" name="Check Box 4" hidden="1">
              <a:extLst>
                <a:ext uri="{63B3BB69-23CF-44E3-9099-C40C66FF867C}">
                  <a14:compatExt spid="_x0000_s106500"/>
                </a:ext>
                <a:ext uri="{FF2B5EF4-FFF2-40B4-BE49-F238E27FC236}">
                  <a16:creationId xmlns:a16="http://schemas.microsoft.com/office/drawing/2014/main" id="{00000000-0008-0000-0100-000004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108</xdr:row>
          <xdr:rowOff>19050</xdr:rowOff>
        </xdr:from>
        <xdr:to>
          <xdr:col>2</xdr:col>
          <xdr:colOff>9525</xdr:colOff>
          <xdr:row>109</xdr:row>
          <xdr:rowOff>0</xdr:rowOff>
        </xdr:to>
        <xdr:sp macro="" textlink="">
          <xdr:nvSpPr>
            <xdr:cNvPr id="106501" name="Check Box 5" hidden="1">
              <a:extLst>
                <a:ext uri="{63B3BB69-23CF-44E3-9099-C40C66FF867C}">
                  <a14:compatExt spid="_x0000_s106501"/>
                </a:ext>
                <a:ext uri="{FF2B5EF4-FFF2-40B4-BE49-F238E27FC236}">
                  <a16:creationId xmlns:a16="http://schemas.microsoft.com/office/drawing/2014/main" id="{00000000-0008-0000-0100-000005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109</xdr:row>
          <xdr:rowOff>19050</xdr:rowOff>
        </xdr:from>
        <xdr:to>
          <xdr:col>2</xdr:col>
          <xdr:colOff>9525</xdr:colOff>
          <xdr:row>110</xdr:row>
          <xdr:rowOff>19050</xdr:rowOff>
        </xdr:to>
        <xdr:sp macro="" textlink="">
          <xdr:nvSpPr>
            <xdr:cNvPr id="106502" name="Check Box 6" hidden="1">
              <a:extLst>
                <a:ext uri="{63B3BB69-23CF-44E3-9099-C40C66FF867C}">
                  <a14:compatExt spid="_x0000_s106502"/>
                </a:ext>
                <a:ext uri="{FF2B5EF4-FFF2-40B4-BE49-F238E27FC236}">
                  <a16:creationId xmlns:a16="http://schemas.microsoft.com/office/drawing/2014/main" id="{00000000-0008-0000-0100-000006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110</xdr:row>
          <xdr:rowOff>19050</xdr:rowOff>
        </xdr:from>
        <xdr:to>
          <xdr:col>2</xdr:col>
          <xdr:colOff>0</xdr:colOff>
          <xdr:row>111</xdr:row>
          <xdr:rowOff>0</xdr:rowOff>
        </xdr:to>
        <xdr:sp macro="" textlink="">
          <xdr:nvSpPr>
            <xdr:cNvPr id="106503" name="Check Box 7" hidden="1">
              <a:extLst>
                <a:ext uri="{63B3BB69-23CF-44E3-9099-C40C66FF867C}">
                  <a14:compatExt spid="_x0000_s106503"/>
                </a:ext>
                <a:ext uri="{FF2B5EF4-FFF2-40B4-BE49-F238E27FC236}">
                  <a16:creationId xmlns:a16="http://schemas.microsoft.com/office/drawing/2014/main" id="{00000000-0008-0000-0100-000007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112</xdr:row>
          <xdr:rowOff>19050</xdr:rowOff>
        </xdr:from>
        <xdr:to>
          <xdr:col>2</xdr:col>
          <xdr:colOff>0</xdr:colOff>
          <xdr:row>113</xdr:row>
          <xdr:rowOff>19050</xdr:rowOff>
        </xdr:to>
        <xdr:sp macro="" textlink="">
          <xdr:nvSpPr>
            <xdr:cNvPr id="106504" name="Check Box 8" hidden="1">
              <a:extLst>
                <a:ext uri="{63B3BB69-23CF-44E3-9099-C40C66FF867C}">
                  <a14:compatExt spid="_x0000_s106504"/>
                </a:ext>
                <a:ext uri="{FF2B5EF4-FFF2-40B4-BE49-F238E27FC236}">
                  <a16:creationId xmlns:a16="http://schemas.microsoft.com/office/drawing/2014/main" id="{00000000-0008-0000-0100-000008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44</xdr:row>
          <xdr:rowOff>28575</xdr:rowOff>
        </xdr:from>
        <xdr:to>
          <xdr:col>3</xdr:col>
          <xdr:colOff>57150</xdr:colOff>
          <xdr:row>44</xdr:row>
          <xdr:rowOff>209550</xdr:rowOff>
        </xdr:to>
        <xdr:sp macro="" textlink="">
          <xdr:nvSpPr>
            <xdr:cNvPr id="106505" name="Check Box 9" hidden="1">
              <a:extLst>
                <a:ext uri="{63B3BB69-23CF-44E3-9099-C40C66FF867C}">
                  <a14:compatExt spid="_x0000_s106505"/>
                </a:ext>
                <a:ext uri="{FF2B5EF4-FFF2-40B4-BE49-F238E27FC236}">
                  <a16:creationId xmlns:a16="http://schemas.microsoft.com/office/drawing/2014/main" id="{00000000-0008-0000-0100-000009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45</xdr:row>
          <xdr:rowOff>19050</xdr:rowOff>
        </xdr:from>
        <xdr:to>
          <xdr:col>3</xdr:col>
          <xdr:colOff>19050</xdr:colOff>
          <xdr:row>45</xdr:row>
          <xdr:rowOff>238125</xdr:rowOff>
        </xdr:to>
        <xdr:sp macro="" textlink="">
          <xdr:nvSpPr>
            <xdr:cNvPr id="106506" name="Check Box 10" hidden="1">
              <a:extLst>
                <a:ext uri="{63B3BB69-23CF-44E3-9099-C40C66FF867C}">
                  <a14:compatExt spid="_x0000_s106506"/>
                </a:ext>
                <a:ext uri="{FF2B5EF4-FFF2-40B4-BE49-F238E27FC236}">
                  <a16:creationId xmlns:a16="http://schemas.microsoft.com/office/drawing/2014/main" id="{00000000-0008-0000-0100-00000A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45</xdr:row>
          <xdr:rowOff>209550</xdr:rowOff>
        </xdr:from>
        <xdr:to>
          <xdr:col>3</xdr:col>
          <xdr:colOff>19050</xdr:colOff>
          <xdr:row>47</xdr:row>
          <xdr:rowOff>57150</xdr:rowOff>
        </xdr:to>
        <xdr:sp macro="" textlink="">
          <xdr:nvSpPr>
            <xdr:cNvPr id="106507" name="Check Box 11" hidden="1">
              <a:extLst>
                <a:ext uri="{63B3BB69-23CF-44E3-9099-C40C66FF867C}">
                  <a14:compatExt spid="_x0000_s106507"/>
                </a:ext>
                <a:ext uri="{FF2B5EF4-FFF2-40B4-BE49-F238E27FC236}">
                  <a16:creationId xmlns:a16="http://schemas.microsoft.com/office/drawing/2014/main" id="{00000000-0008-0000-0100-00000B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46</xdr:row>
          <xdr:rowOff>209550</xdr:rowOff>
        </xdr:from>
        <xdr:to>
          <xdr:col>3</xdr:col>
          <xdr:colOff>38100</xdr:colOff>
          <xdr:row>48</xdr:row>
          <xdr:rowOff>19050</xdr:rowOff>
        </xdr:to>
        <xdr:sp macro="" textlink="">
          <xdr:nvSpPr>
            <xdr:cNvPr id="106508" name="Check Box 12" hidden="1">
              <a:extLst>
                <a:ext uri="{63B3BB69-23CF-44E3-9099-C40C66FF867C}">
                  <a14:compatExt spid="_x0000_s106508"/>
                </a:ext>
                <a:ext uri="{FF2B5EF4-FFF2-40B4-BE49-F238E27FC236}">
                  <a16:creationId xmlns:a16="http://schemas.microsoft.com/office/drawing/2014/main" id="{00000000-0008-0000-0100-00000C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111</xdr:row>
          <xdr:rowOff>19050</xdr:rowOff>
        </xdr:from>
        <xdr:to>
          <xdr:col>2</xdr:col>
          <xdr:colOff>9525</xdr:colOff>
          <xdr:row>112</xdr:row>
          <xdr:rowOff>0</xdr:rowOff>
        </xdr:to>
        <xdr:sp macro="" textlink="">
          <xdr:nvSpPr>
            <xdr:cNvPr id="106509" name="Check Box 13" hidden="1">
              <a:extLst>
                <a:ext uri="{63B3BB69-23CF-44E3-9099-C40C66FF867C}">
                  <a14:compatExt spid="_x0000_s106509"/>
                </a:ext>
                <a:ext uri="{FF2B5EF4-FFF2-40B4-BE49-F238E27FC236}">
                  <a16:creationId xmlns:a16="http://schemas.microsoft.com/office/drawing/2014/main" id="{00000000-0008-0000-0100-00000D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77</xdr:row>
          <xdr:rowOff>135255</xdr:rowOff>
        </xdr:from>
        <xdr:to>
          <xdr:col>6</xdr:col>
          <xdr:colOff>15240</xdr:colOff>
          <xdr:row>93</xdr:row>
          <xdr:rowOff>20955</xdr:rowOff>
        </xdr:to>
        <xdr:grpSp>
          <xdr:nvGrpSpPr>
            <xdr:cNvPr id="26" name="Group 41">
              <a:extLst>
                <a:ext uri="{FF2B5EF4-FFF2-40B4-BE49-F238E27FC236}">
                  <a16:creationId xmlns:a16="http://schemas.microsoft.com/office/drawing/2014/main" id="{B92CEAD5-0A12-4020-8E3A-019691B14A14}"/>
                </a:ext>
              </a:extLst>
            </xdr:cNvPr>
            <xdr:cNvGrpSpPr>
              <a:grpSpLocks/>
            </xdr:cNvGrpSpPr>
          </xdr:nvGrpSpPr>
          <xdr:grpSpPr bwMode="auto">
            <a:xfrm>
              <a:off x="1057053" y="18886214"/>
              <a:ext cx="165425" cy="494724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92</xdr:row>
          <xdr:rowOff>0</xdr:rowOff>
        </xdr:from>
        <xdr:to>
          <xdr:col>6</xdr:col>
          <xdr:colOff>15240</xdr:colOff>
          <xdr:row>94</xdr:row>
          <xdr:rowOff>0</xdr:rowOff>
        </xdr:to>
        <xdr:grpSp>
          <xdr:nvGrpSpPr>
            <xdr:cNvPr id="27" name="Group 41">
              <a:extLst>
                <a:ext uri="{FF2B5EF4-FFF2-40B4-BE49-F238E27FC236}">
                  <a16:creationId xmlns:a16="http://schemas.microsoft.com/office/drawing/2014/main" id="{62A27892-24A5-4870-BB02-E42F90E80FB0}"/>
                </a:ext>
              </a:extLst>
            </xdr:cNvPr>
            <xdr:cNvGrpSpPr>
              <a:grpSpLocks/>
            </xdr:cNvGrpSpPr>
          </xdr:nvGrpSpPr>
          <xdr:grpSpPr bwMode="auto">
            <a:xfrm>
              <a:off x="1057053" y="23624215"/>
              <a:ext cx="165425" cy="26581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77</xdr:row>
          <xdr:rowOff>131445</xdr:rowOff>
        </xdr:from>
        <xdr:to>
          <xdr:col>6</xdr:col>
          <xdr:colOff>19050</xdr:colOff>
          <xdr:row>93</xdr:row>
          <xdr:rowOff>17145</xdr:rowOff>
        </xdr:to>
        <xdr:grpSp>
          <xdr:nvGrpSpPr>
            <xdr:cNvPr id="28" name="Group 41">
              <a:extLst>
                <a:ext uri="{FF2B5EF4-FFF2-40B4-BE49-F238E27FC236}">
                  <a16:creationId xmlns:a16="http://schemas.microsoft.com/office/drawing/2014/main" id="{A35D2853-6E14-478A-B1DD-B1DB6B0666BF}"/>
                </a:ext>
              </a:extLst>
            </xdr:cNvPr>
            <xdr:cNvGrpSpPr>
              <a:grpSpLocks/>
            </xdr:cNvGrpSpPr>
          </xdr:nvGrpSpPr>
          <xdr:grpSpPr bwMode="auto">
            <a:xfrm>
              <a:off x="1057053" y="18882404"/>
              <a:ext cx="169235" cy="494724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92</xdr:row>
          <xdr:rowOff>0</xdr:rowOff>
        </xdr:from>
        <xdr:to>
          <xdr:col>6</xdr:col>
          <xdr:colOff>19050</xdr:colOff>
          <xdr:row>94</xdr:row>
          <xdr:rowOff>0</xdr:rowOff>
        </xdr:to>
        <xdr:grpSp>
          <xdr:nvGrpSpPr>
            <xdr:cNvPr id="29" name="Group 41">
              <a:extLst>
                <a:ext uri="{FF2B5EF4-FFF2-40B4-BE49-F238E27FC236}">
                  <a16:creationId xmlns:a16="http://schemas.microsoft.com/office/drawing/2014/main" id="{21CEFBF9-4EB4-4D9A-BEB2-B31C1B45AC67}"/>
                </a:ext>
              </a:extLst>
            </xdr:cNvPr>
            <xdr:cNvGrpSpPr>
              <a:grpSpLocks/>
            </xdr:cNvGrpSpPr>
          </xdr:nvGrpSpPr>
          <xdr:grpSpPr bwMode="auto">
            <a:xfrm>
              <a:off x="1057053" y="23624215"/>
              <a:ext cx="169235" cy="26581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77</xdr:row>
          <xdr:rowOff>131445</xdr:rowOff>
        </xdr:from>
        <xdr:to>
          <xdr:col>6</xdr:col>
          <xdr:colOff>19050</xdr:colOff>
          <xdr:row>94</xdr:row>
          <xdr:rowOff>0</xdr:rowOff>
        </xdr:to>
        <xdr:grpSp>
          <xdr:nvGrpSpPr>
            <xdr:cNvPr id="30" name="Group 41">
              <a:extLst>
                <a:ext uri="{FF2B5EF4-FFF2-40B4-BE49-F238E27FC236}">
                  <a16:creationId xmlns:a16="http://schemas.microsoft.com/office/drawing/2014/main" id="{F3150892-882B-4199-9080-4DDC89D0305A}"/>
                </a:ext>
              </a:extLst>
            </xdr:cNvPr>
            <xdr:cNvGrpSpPr>
              <a:grpSpLocks/>
            </xdr:cNvGrpSpPr>
          </xdr:nvGrpSpPr>
          <xdr:grpSpPr bwMode="auto">
            <a:xfrm>
              <a:off x="1057053" y="18882404"/>
              <a:ext cx="169235" cy="500762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93</xdr:row>
          <xdr:rowOff>0</xdr:rowOff>
        </xdr:from>
        <xdr:to>
          <xdr:col>6</xdr:col>
          <xdr:colOff>19050</xdr:colOff>
          <xdr:row>94</xdr:row>
          <xdr:rowOff>0</xdr:rowOff>
        </xdr:to>
        <xdr:grpSp>
          <xdr:nvGrpSpPr>
            <xdr:cNvPr id="31" name="Group 41">
              <a:extLst>
                <a:ext uri="{FF2B5EF4-FFF2-40B4-BE49-F238E27FC236}">
                  <a16:creationId xmlns:a16="http://schemas.microsoft.com/office/drawing/2014/main" id="{59D4EE14-6731-4818-8817-7A0E9A1D1971}"/>
                </a:ext>
              </a:extLst>
            </xdr:cNvPr>
            <xdr:cNvGrpSpPr>
              <a:grpSpLocks/>
            </xdr:cNvGrpSpPr>
          </xdr:nvGrpSpPr>
          <xdr:grpSpPr bwMode="auto">
            <a:xfrm>
              <a:off x="1057053" y="23812500"/>
              <a:ext cx="169235" cy="7752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77</xdr:row>
          <xdr:rowOff>135255</xdr:rowOff>
        </xdr:from>
        <xdr:to>
          <xdr:col>6</xdr:col>
          <xdr:colOff>15240</xdr:colOff>
          <xdr:row>94</xdr:row>
          <xdr:rowOff>0</xdr:rowOff>
        </xdr:to>
        <xdr:grpSp>
          <xdr:nvGrpSpPr>
            <xdr:cNvPr id="32" name="Group 41">
              <a:extLst>
                <a:ext uri="{FF2B5EF4-FFF2-40B4-BE49-F238E27FC236}">
                  <a16:creationId xmlns:a16="http://schemas.microsoft.com/office/drawing/2014/main" id="{24EE7AAA-2FE7-4A63-B0A2-D20E9F57C8CE}"/>
                </a:ext>
              </a:extLst>
            </xdr:cNvPr>
            <xdr:cNvGrpSpPr>
              <a:grpSpLocks/>
            </xdr:cNvGrpSpPr>
          </xdr:nvGrpSpPr>
          <xdr:grpSpPr bwMode="auto">
            <a:xfrm>
              <a:off x="1057053" y="18886214"/>
              <a:ext cx="165425" cy="500381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93</xdr:row>
          <xdr:rowOff>0</xdr:rowOff>
        </xdr:from>
        <xdr:to>
          <xdr:col>6</xdr:col>
          <xdr:colOff>15240</xdr:colOff>
          <xdr:row>94</xdr:row>
          <xdr:rowOff>0</xdr:rowOff>
        </xdr:to>
        <xdr:grpSp>
          <xdr:nvGrpSpPr>
            <xdr:cNvPr id="33" name="Group 41">
              <a:extLst>
                <a:ext uri="{FF2B5EF4-FFF2-40B4-BE49-F238E27FC236}">
                  <a16:creationId xmlns:a16="http://schemas.microsoft.com/office/drawing/2014/main" id="{E23531C3-817C-41FF-B924-EE15C4D2F30A}"/>
                </a:ext>
              </a:extLst>
            </xdr:cNvPr>
            <xdr:cNvGrpSpPr>
              <a:grpSpLocks/>
            </xdr:cNvGrpSpPr>
          </xdr:nvGrpSpPr>
          <xdr:grpSpPr bwMode="auto">
            <a:xfrm>
              <a:off x="1057053" y="23812500"/>
              <a:ext cx="165425" cy="7752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83</xdr:row>
          <xdr:rowOff>0</xdr:rowOff>
        </xdr:from>
        <xdr:to>
          <xdr:col>6</xdr:col>
          <xdr:colOff>19050</xdr:colOff>
          <xdr:row>84</xdr:row>
          <xdr:rowOff>0</xdr:rowOff>
        </xdr:to>
        <xdr:grpSp>
          <xdr:nvGrpSpPr>
            <xdr:cNvPr id="34" name="Group 41">
              <a:extLst>
                <a:ext uri="{FF2B5EF4-FFF2-40B4-BE49-F238E27FC236}">
                  <a16:creationId xmlns:a16="http://schemas.microsoft.com/office/drawing/2014/main" id="{6A486816-ADAE-407E-B932-6640AF1AD699}"/>
                </a:ext>
              </a:extLst>
            </xdr:cNvPr>
            <xdr:cNvGrpSpPr>
              <a:grpSpLocks/>
            </xdr:cNvGrpSpPr>
          </xdr:nvGrpSpPr>
          <xdr:grpSpPr bwMode="auto">
            <a:xfrm>
              <a:off x="1057053" y="20578430"/>
              <a:ext cx="169235" cy="18828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83</xdr:row>
          <xdr:rowOff>0</xdr:rowOff>
        </xdr:from>
        <xdr:to>
          <xdr:col>6</xdr:col>
          <xdr:colOff>15240</xdr:colOff>
          <xdr:row>84</xdr:row>
          <xdr:rowOff>0</xdr:rowOff>
        </xdr:to>
        <xdr:grpSp>
          <xdr:nvGrpSpPr>
            <xdr:cNvPr id="35" name="Group 41">
              <a:extLst>
                <a:ext uri="{FF2B5EF4-FFF2-40B4-BE49-F238E27FC236}">
                  <a16:creationId xmlns:a16="http://schemas.microsoft.com/office/drawing/2014/main" id="{A87E6D30-985C-4244-8F48-080C0B71B6F1}"/>
                </a:ext>
              </a:extLst>
            </xdr:cNvPr>
            <xdr:cNvGrpSpPr>
              <a:grpSpLocks/>
            </xdr:cNvGrpSpPr>
          </xdr:nvGrpSpPr>
          <xdr:grpSpPr bwMode="auto">
            <a:xfrm>
              <a:off x="1057053" y="20578430"/>
              <a:ext cx="165425" cy="18828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91</xdr:row>
          <xdr:rowOff>0</xdr:rowOff>
        </xdr:from>
        <xdr:to>
          <xdr:col>6</xdr:col>
          <xdr:colOff>15240</xdr:colOff>
          <xdr:row>92</xdr:row>
          <xdr:rowOff>0</xdr:rowOff>
        </xdr:to>
        <xdr:grpSp>
          <xdr:nvGrpSpPr>
            <xdr:cNvPr id="36" name="Group 41">
              <a:extLst>
                <a:ext uri="{FF2B5EF4-FFF2-40B4-BE49-F238E27FC236}">
                  <a16:creationId xmlns:a16="http://schemas.microsoft.com/office/drawing/2014/main" id="{FC4554B8-1A81-4401-9BF2-51A9C7F89125}"/>
                </a:ext>
              </a:extLst>
            </xdr:cNvPr>
            <xdr:cNvGrpSpPr>
              <a:grpSpLocks/>
            </xdr:cNvGrpSpPr>
          </xdr:nvGrpSpPr>
          <xdr:grpSpPr bwMode="auto">
            <a:xfrm>
              <a:off x="1057053" y="23435930"/>
              <a:ext cx="165425" cy="18828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91</xdr:row>
          <xdr:rowOff>0</xdr:rowOff>
        </xdr:from>
        <xdr:to>
          <xdr:col>6</xdr:col>
          <xdr:colOff>19050</xdr:colOff>
          <xdr:row>92</xdr:row>
          <xdr:rowOff>0</xdr:rowOff>
        </xdr:to>
        <xdr:grpSp>
          <xdr:nvGrpSpPr>
            <xdr:cNvPr id="37" name="Group 41">
              <a:extLst>
                <a:ext uri="{FF2B5EF4-FFF2-40B4-BE49-F238E27FC236}">
                  <a16:creationId xmlns:a16="http://schemas.microsoft.com/office/drawing/2014/main" id="{79ECD8BB-7E2E-4D75-AFC2-34BFDB5A58B3}"/>
                </a:ext>
              </a:extLst>
            </xdr:cNvPr>
            <xdr:cNvGrpSpPr>
              <a:grpSpLocks/>
            </xdr:cNvGrpSpPr>
          </xdr:nvGrpSpPr>
          <xdr:grpSpPr bwMode="auto">
            <a:xfrm>
              <a:off x="1057053" y="23435930"/>
              <a:ext cx="169235" cy="18828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88</xdr:row>
          <xdr:rowOff>0</xdr:rowOff>
        </xdr:from>
        <xdr:to>
          <xdr:col>34</xdr:col>
          <xdr:colOff>15240</xdr:colOff>
          <xdr:row>89</xdr:row>
          <xdr:rowOff>0</xdr:rowOff>
        </xdr:to>
        <xdr:grpSp>
          <xdr:nvGrpSpPr>
            <xdr:cNvPr id="38" name="Group 41">
              <a:extLst>
                <a:ext uri="{FF2B5EF4-FFF2-40B4-BE49-F238E27FC236}">
                  <a16:creationId xmlns:a16="http://schemas.microsoft.com/office/drawing/2014/main" id="{CF8171F8-979B-4E15-8F8A-E688518E4F26}"/>
                </a:ext>
              </a:extLst>
            </xdr:cNvPr>
            <xdr:cNvGrpSpPr>
              <a:grpSpLocks/>
            </xdr:cNvGrpSpPr>
          </xdr:nvGrpSpPr>
          <xdr:grpSpPr bwMode="auto">
            <a:xfrm>
              <a:off x="6993565" y="22583110"/>
              <a:ext cx="165425" cy="35441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88</xdr:row>
          <xdr:rowOff>0</xdr:rowOff>
        </xdr:from>
        <xdr:to>
          <xdr:col>34</xdr:col>
          <xdr:colOff>19050</xdr:colOff>
          <xdr:row>89</xdr:row>
          <xdr:rowOff>0</xdr:rowOff>
        </xdr:to>
        <xdr:grpSp>
          <xdr:nvGrpSpPr>
            <xdr:cNvPr id="39" name="Group 41">
              <a:extLst>
                <a:ext uri="{FF2B5EF4-FFF2-40B4-BE49-F238E27FC236}">
                  <a16:creationId xmlns:a16="http://schemas.microsoft.com/office/drawing/2014/main" id="{5C9567BC-D04E-4DB8-B6A9-D30D11FCA6EC}"/>
                </a:ext>
              </a:extLst>
            </xdr:cNvPr>
            <xdr:cNvGrpSpPr>
              <a:grpSpLocks/>
            </xdr:cNvGrpSpPr>
          </xdr:nvGrpSpPr>
          <xdr:grpSpPr bwMode="auto">
            <a:xfrm>
              <a:off x="6993565" y="22583110"/>
              <a:ext cx="169235" cy="354419"/>
              <a:chOff x="9239" y="107537"/>
              <a:chExt cx="2190" cy="12573"/>
            </a:xfrm>
          </xdr:grpSpPr>
        </xdr:grpSp>
        <xdr:clientData/>
      </xdr:twoCellAnchor>
    </mc:Choice>
    <mc:Fallback/>
  </mc:AlternateContent>
  <xdr:twoCellAnchor>
    <xdr:from>
      <xdr:col>38</xdr:col>
      <xdr:colOff>115278</xdr:colOff>
      <xdr:row>0</xdr:row>
      <xdr:rowOff>27056</xdr:rowOff>
    </xdr:from>
    <xdr:to>
      <xdr:col>51</xdr:col>
      <xdr:colOff>235978</xdr:colOff>
      <xdr:row>15</xdr:row>
      <xdr:rowOff>93382</xdr:rowOff>
    </xdr:to>
    <xdr:grpSp>
      <xdr:nvGrpSpPr>
        <xdr:cNvPr id="20" name="グループ化 19">
          <a:extLst>
            <a:ext uri="{FF2B5EF4-FFF2-40B4-BE49-F238E27FC236}">
              <a16:creationId xmlns:a16="http://schemas.microsoft.com/office/drawing/2014/main" id="{5B532D2E-CCDB-90E5-72C8-25929715BD03}"/>
            </a:ext>
          </a:extLst>
        </xdr:cNvPr>
        <xdr:cNvGrpSpPr/>
      </xdr:nvGrpSpPr>
      <xdr:grpSpPr>
        <a:xfrm>
          <a:off x="8554871" y="27056"/>
          <a:ext cx="7065090" cy="3211791"/>
          <a:chOff x="7408440" y="30234"/>
          <a:chExt cx="6436520" cy="3228810"/>
        </a:xfrm>
      </xdr:grpSpPr>
      <xdr:grpSp>
        <xdr:nvGrpSpPr>
          <xdr:cNvPr id="40" name="グループ化 39">
            <a:extLst>
              <a:ext uri="{FF2B5EF4-FFF2-40B4-BE49-F238E27FC236}">
                <a16:creationId xmlns:a16="http://schemas.microsoft.com/office/drawing/2014/main" id="{B0817346-7A96-C4C7-8B39-BF3C1E964867}"/>
              </a:ext>
            </a:extLst>
          </xdr:cNvPr>
          <xdr:cNvGrpSpPr/>
        </xdr:nvGrpSpPr>
        <xdr:grpSpPr>
          <a:xfrm>
            <a:off x="7408440" y="30234"/>
            <a:ext cx="6436520" cy="3228810"/>
            <a:chOff x="7408440" y="30234"/>
            <a:chExt cx="6436520" cy="2929268"/>
          </a:xfrm>
        </xdr:grpSpPr>
        <xdr:grpSp>
          <xdr:nvGrpSpPr>
            <xdr:cNvPr id="21" name="グループ化 20">
              <a:extLst>
                <a:ext uri="{FF2B5EF4-FFF2-40B4-BE49-F238E27FC236}">
                  <a16:creationId xmlns:a16="http://schemas.microsoft.com/office/drawing/2014/main" id="{B05CE372-DA83-0FEA-0A0C-7A1F5252D124}"/>
                </a:ext>
              </a:extLst>
            </xdr:cNvPr>
            <xdr:cNvGrpSpPr/>
          </xdr:nvGrpSpPr>
          <xdr:grpSpPr>
            <a:xfrm>
              <a:off x="7408440" y="30234"/>
              <a:ext cx="6436520" cy="2929268"/>
              <a:chOff x="7408440" y="30234"/>
              <a:chExt cx="6436520" cy="2929268"/>
            </a:xfrm>
          </xdr:grpSpPr>
          <xdr:sp macro="" textlink="">
            <xdr:nvSpPr>
              <xdr:cNvPr id="15" name="正方形/長方形 32">
                <a:extLst>
                  <a:ext uri="{FF2B5EF4-FFF2-40B4-BE49-F238E27FC236}">
                    <a16:creationId xmlns:a16="http://schemas.microsoft.com/office/drawing/2014/main" id="{D57B5BD2-4827-42C0-B213-74E76B9A32BC}"/>
                  </a:ext>
                </a:extLst>
              </xdr:cNvPr>
              <xdr:cNvSpPr/>
            </xdr:nvSpPr>
            <xdr:spPr bwMode="auto">
              <a:xfrm>
                <a:off x="7408440" y="30234"/>
                <a:ext cx="6436520" cy="2929268"/>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先に「基本情報入力シート」及び「別紙様式２－２</a:t>
                </a:r>
                <a:r>
                  <a:rPr kumimoji="1" lang="ja-JP" altLang="en-US" sz="1100" b="1" u="none">
                    <a:solidFill>
                      <a:sysClr val="windowText" lastClr="000000"/>
                    </a:solidFill>
                  </a:rPr>
                  <a:t>」「別紙様式２－３」を完成させて</a:t>
                </a:r>
                <a:r>
                  <a:rPr kumimoji="1" lang="ja-JP" altLang="en-US" sz="1100" b="1" u="none"/>
                  <a:t>ください。</a:t>
                </a:r>
                <a:endParaRPr kumimoji="1" lang="en-US" altLang="ja-JP" sz="1100" b="1" u="none"/>
              </a:p>
              <a:p>
                <a:pPr algn="l"/>
                <a:r>
                  <a:rPr kumimoji="1" lang="ja-JP" altLang="en-US" sz="1100" b="1" u="none"/>
                  <a:t>　　これらのシートでの</a:t>
                </a:r>
                <a:r>
                  <a:rPr kumimoji="1" lang="ja-JP" altLang="en-US" sz="1100" b="1" u="none" baseline="0"/>
                  <a:t>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未入力の欄がありますので</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r>
                  <a:rPr kumimoji="1" lang="ja-JP" altLang="en-US" sz="1100" b="1" u="none" baseline="0">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本処遇改善計画書に記載された金額は見込額であり、提出後の運営状況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利用者数等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人員配置状況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職員数等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その他の事由により変動があっても差し支え</a:t>
                </a:r>
                <a:r>
                  <a:rPr kumimoji="1" lang="ja-JP" altLang="en-US" sz="1100" b="1">
                    <a:solidFill>
                      <a:schemeClr val="dk1"/>
                    </a:solidFill>
                    <a:effectLst/>
                    <a:latin typeface="+mn-lt"/>
                    <a:ea typeface="+mn-ea"/>
                    <a:cs typeface="+mn-cs"/>
                  </a:rPr>
                  <a:t>ありません。</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1">
                  <a:effectLst/>
                </a:endParaRPr>
              </a:p>
            </xdr:txBody>
          </xdr:sp>
          <xdr:sp macro="" textlink="">
            <xdr:nvSpPr>
              <xdr:cNvPr id="16" name="正方形/長方形 15">
                <a:extLst>
                  <a:ext uri="{FF2B5EF4-FFF2-40B4-BE49-F238E27FC236}">
                    <a16:creationId xmlns:a16="http://schemas.microsoft.com/office/drawing/2014/main" id="{5A0C011C-3B47-4C09-AA04-37AAFF5F7FF5}"/>
                  </a:ext>
                </a:extLst>
              </xdr:cNvPr>
              <xdr:cNvSpPr/>
            </xdr:nvSpPr>
            <xdr:spPr bwMode="auto">
              <a:xfrm>
                <a:off x="8676227" y="421962"/>
                <a:ext cx="552995" cy="188693"/>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grpSp>
        <xdr:grpSp>
          <xdr:nvGrpSpPr>
            <xdr:cNvPr id="17" name="グループ化 16">
              <a:extLst>
                <a:ext uri="{FF2B5EF4-FFF2-40B4-BE49-F238E27FC236}">
                  <a16:creationId xmlns:a16="http://schemas.microsoft.com/office/drawing/2014/main" id="{B87397CF-CB4E-42BD-8C52-F9AB6132B3BE}"/>
                </a:ext>
              </a:extLst>
            </xdr:cNvPr>
            <xdr:cNvGrpSpPr/>
          </xdr:nvGrpSpPr>
          <xdr:grpSpPr>
            <a:xfrm>
              <a:off x="7683335" y="2669922"/>
              <a:ext cx="1236438" cy="222350"/>
              <a:chOff x="7037121" y="3784080"/>
              <a:chExt cx="996656" cy="236147"/>
            </a:xfrm>
          </xdr:grpSpPr>
          <xdr:sp macro="" textlink="">
            <xdr:nvSpPr>
              <xdr:cNvPr id="18" name="正方形/長方形 36">
                <a:extLst>
                  <a:ext uri="{FF2B5EF4-FFF2-40B4-BE49-F238E27FC236}">
                    <a16:creationId xmlns:a16="http://schemas.microsoft.com/office/drawing/2014/main" id="{F94578DF-92D3-70BD-419A-80736701D1A2}"/>
                  </a:ext>
                </a:extLst>
              </xdr:cNvPr>
              <xdr:cNvSpPr/>
            </xdr:nvSpPr>
            <xdr:spPr bwMode="auto">
              <a:xfrm>
                <a:off x="7037121" y="3784080"/>
                <a:ext cx="165406" cy="236147"/>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9" name="テキスト ボックス 40">
                <a:extLst>
                  <a:ext uri="{FF2B5EF4-FFF2-40B4-BE49-F238E27FC236}">
                    <a16:creationId xmlns:a16="http://schemas.microsoft.com/office/drawing/2014/main" id="{FCABFF4A-066E-1B04-D6E6-E9F7C48A688E}"/>
                  </a:ext>
                </a:extLst>
              </xdr:cNvPr>
              <xdr:cNvSpPr txBox="1"/>
            </xdr:nvSpPr>
            <xdr:spPr>
              <a:xfrm>
                <a:off x="7164863" y="3792978"/>
                <a:ext cx="868914" cy="1944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要件を満たす</a:t>
                </a:r>
              </a:p>
            </xdr:txBody>
          </xdr:sp>
        </xdr:grpSp>
        <xdr:sp macro="" textlink="">
          <xdr:nvSpPr>
            <xdr:cNvPr id="22" name="テキスト ボックス 41">
              <a:extLst>
                <a:ext uri="{FF2B5EF4-FFF2-40B4-BE49-F238E27FC236}">
                  <a16:creationId xmlns:a16="http://schemas.microsoft.com/office/drawing/2014/main" id="{10C9AED5-1ED2-846B-1869-AEF755BB706F}"/>
                </a:ext>
              </a:extLst>
            </xdr:cNvPr>
            <xdr:cNvSpPr txBox="1"/>
          </xdr:nvSpPr>
          <xdr:spPr>
            <a:xfrm>
              <a:off x="9113223" y="2668581"/>
              <a:ext cx="3146650" cy="2053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要件を満たさない（または未入力あり）</a:t>
              </a:r>
            </a:p>
          </xdr:txBody>
        </xdr:sp>
        <xdr:grpSp>
          <xdr:nvGrpSpPr>
            <xdr:cNvPr id="23" name="グループ化 22">
              <a:extLst>
                <a:ext uri="{FF2B5EF4-FFF2-40B4-BE49-F238E27FC236}">
                  <a16:creationId xmlns:a16="http://schemas.microsoft.com/office/drawing/2014/main" id="{29661958-D5ED-4569-9083-E376107BF0A2}"/>
                </a:ext>
              </a:extLst>
            </xdr:cNvPr>
            <xdr:cNvGrpSpPr/>
          </xdr:nvGrpSpPr>
          <xdr:grpSpPr>
            <a:xfrm>
              <a:off x="11488873" y="2672513"/>
              <a:ext cx="1889338" cy="227720"/>
              <a:chOff x="10793178" y="3757272"/>
              <a:chExt cx="1747283" cy="217099"/>
            </a:xfrm>
          </xdr:grpSpPr>
          <xdr:sp macro="" textlink="">
            <xdr:nvSpPr>
              <xdr:cNvPr id="24" name="テキスト ボックス 42">
                <a:extLst>
                  <a:ext uri="{FF2B5EF4-FFF2-40B4-BE49-F238E27FC236}">
                    <a16:creationId xmlns:a16="http://schemas.microsoft.com/office/drawing/2014/main" id="{98C1AA6B-5E14-4DEB-5FFC-60D4FF302B9D}"/>
                  </a:ext>
                </a:extLst>
              </xdr:cNvPr>
              <xdr:cNvSpPr txBox="1"/>
            </xdr:nvSpPr>
            <xdr:spPr>
              <a:xfrm>
                <a:off x="11213737" y="3757272"/>
                <a:ext cx="1326724" cy="2006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ja-JP" altLang="en-US" sz="1100" b="1"/>
                  <a:t>要件には影響せず</a:t>
                </a:r>
                <a:endParaRPr kumimoji="1" lang="en-US" altLang="ja-JP" sz="1100" b="1"/>
              </a:p>
            </xdr:txBody>
          </xdr:sp>
          <xdr:sp macro="" textlink="">
            <xdr:nvSpPr>
              <xdr:cNvPr id="25" name="正方形/長方形 38">
                <a:extLst>
                  <a:ext uri="{FF2B5EF4-FFF2-40B4-BE49-F238E27FC236}">
                    <a16:creationId xmlns:a16="http://schemas.microsoft.com/office/drawing/2014/main" id="{DF66EAE3-B928-FBA9-0B5B-4E68FAAC16A0}"/>
                  </a:ext>
                </a:extLst>
              </xdr:cNvPr>
              <xdr:cNvSpPr/>
            </xdr:nvSpPr>
            <xdr:spPr bwMode="auto">
              <a:xfrm>
                <a:off x="10793178" y="3762539"/>
                <a:ext cx="188662" cy="211832"/>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100" b="1" i="0"/>
                  <a:t>×</a:t>
                </a:r>
                <a:endParaRPr kumimoji="1" lang="ja-JP" altLang="en-US" sz="1100" b="1" i="0"/>
              </a:p>
            </xdr:txBody>
          </xdr:sp>
        </xdr:grpSp>
      </xdr:grpSp>
      <xdr:grpSp>
        <xdr:nvGrpSpPr>
          <xdr:cNvPr id="42" name="グループ化 41">
            <a:extLst>
              <a:ext uri="{FF2B5EF4-FFF2-40B4-BE49-F238E27FC236}">
                <a16:creationId xmlns:a16="http://schemas.microsoft.com/office/drawing/2014/main" id="{D3ECE3AD-01BD-F19B-2737-6A29CE60B30D}"/>
              </a:ext>
            </a:extLst>
          </xdr:cNvPr>
          <xdr:cNvGrpSpPr/>
        </xdr:nvGrpSpPr>
        <xdr:grpSpPr>
          <a:xfrm>
            <a:off x="8932919" y="2944071"/>
            <a:ext cx="3023314" cy="254062"/>
            <a:chOff x="8932920" y="2948954"/>
            <a:chExt cx="3020149" cy="258680"/>
          </a:xfrm>
        </xdr:grpSpPr>
        <xdr:sp macro="" textlink="">
          <xdr:nvSpPr>
            <xdr:cNvPr id="7" name="正方形/長方形 36">
              <a:extLst>
                <a:ext uri="{FF2B5EF4-FFF2-40B4-BE49-F238E27FC236}">
                  <a16:creationId xmlns:a16="http://schemas.microsoft.com/office/drawing/2014/main" id="{A5C7A635-8938-450A-8F21-CD939FAC30C5}"/>
                </a:ext>
              </a:extLst>
            </xdr:cNvPr>
            <xdr:cNvSpPr/>
          </xdr:nvSpPr>
          <xdr:spPr bwMode="auto">
            <a:xfrm>
              <a:off x="8932920" y="2948954"/>
              <a:ext cx="204985" cy="24925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a:t>×</a:t>
              </a:r>
              <a:endParaRPr kumimoji="1" lang="ja-JP" altLang="en-US" sz="1050" b="1"/>
            </a:p>
          </xdr:txBody>
        </xdr:sp>
        <xdr:sp macro="" textlink="">
          <xdr:nvSpPr>
            <xdr:cNvPr id="13" name="正方形/長方形 38">
              <a:extLst>
                <a:ext uri="{FF2B5EF4-FFF2-40B4-BE49-F238E27FC236}">
                  <a16:creationId xmlns:a16="http://schemas.microsoft.com/office/drawing/2014/main" id="{FBD2BF0C-22DD-49B3-9769-D9AC392C91EF}"/>
                </a:ext>
              </a:extLst>
            </xdr:cNvPr>
            <xdr:cNvSpPr/>
          </xdr:nvSpPr>
          <xdr:spPr bwMode="auto">
            <a:xfrm>
              <a:off x="11747869" y="2958383"/>
              <a:ext cx="205200" cy="249251"/>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b="1" i="0"/>
            </a:p>
          </xdr:txBody>
        </xdr:sp>
      </xdr:grpSp>
    </xdr:grpSp>
    <xdr:clientData/>
  </xdr:twoCellAnchor>
  <mc:AlternateContent xmlns:mc="http://schemas.openxmlformats.org/markup-compatibility/2006">
    <mc:Choice xmlns:a14="http://schemas.microsoft.com/office/drawing/2010/main" Requires="a14">
      <xdr:twoCellAnchor>
        <xdr:from>
          <xdr:col>5</xdr:col>
          <xdr:colOff>38100</xdr:colOff>
          <xdr:row>52</xdr:row>
          <xdr:rowOff>0</xdr:rowOff>
        </xdr:from>
        <xdr:to>
          <xdr:col>6</xdr:col>
          <xdr:colOff>15240</xdr:colOff>
          <xdr:row>53</xdr:row>
          <xdr:rowOff>0</xdr:rowOff>
        </xdr:to>
        <xdr:grpSp>
          <xdr:nvGrpSpPr>
            <xdr:cNvPr id="41" name="Group 41">
              <a:extLst>
                <a:ext uri="{FF2B5EF4-FFF2-40B4-BE49-F238E27FC236}">
                  <a16:creationId xmlns:a16="http://schemas.microsoft.com/office/drawing/2014/main" id="{704597B4-ABBA-40D5-971E-199DDA6D8A4C}"/>
                </a:ext>
              </a:extLst>
            </xdr:cNvPr>
            <xdr:cNvGrpSpPr>
              <a:grpSpLocks/>
            </xdr:cNvGrpSpPr>
          </xdr:nvGrpSpPr>
          <xdr:grpSpPr bwMode="auto">
            <a:xfrm>
              <a:off x="1057053" y="11507529"/>
              <a:ext cx="165425" cy="299041"/>
              <a:chOff x="9239" y="107537"/>
              <a:chExt cx="2190" cy="12573"/>
            </a:xfrm>
          </xdr:grpSpPr>
        </xdr:grp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11</xdr:col>
      <xdr:colOff>40821</xdr:colOff>
      <xdr:row>0</xdr:row>
      <xdr:rowOff>78468</xdr:rowOff>
    </xdr:from>
    <xdr:to>
      <xdr:col>29</xdr:col>
      <xdr:colOff>1074964</xdr:colOff>
      <xdr:row>3</xdr:row>
      <xdr:rowOff>5120</xdr:rowOff>
    </xdr:to>
    <xdr:grpSp>
      <xdr:nvGrpSpPr>
        <xdr:cNvPr id="5" name="グループ化 4">
          <a:extLst>
            <a:ext uri="{FF2B5EF4-FFF2-40B4-BE49-F238E27FC236}">
              <a16:creationId xmlns:a16="http://schemas.microsoft.com/office/drawing/2014/main" id="{1ACBC4A5-EEB9-404E-A9D7-0AD9CFDC820B}"/>
            </a:ext>
          </a:extLst>
        </xdr:cNvPr>
        <xdr:cNvGrpSpPr/>
      </xdr:nvGrpSpPr>
      <xdr:grpSpPr>
        <a:xfrm>
          <a:off x="6578435" y="78468"/>
          <a:ext cx="11959029" cy="908016"/>
          <a:chOff x="-24350837" y="191476"/>
          <a:chExt cx="251074291" cy="2218353"/>
        </a:xfrm>
      </xdr:grpSpPr>
      <xdr:sp macro="" textlink="">
        <xdr:nvSpPr>
          <xdr:cNvPr id="6" name="正方形/長方形 5">
            <a:extLst>
              <a:ext uri="{FF2B5EF4-FFF2-40B4-BE49-F238E27FC236}">
                <a16:creationId xmlns:a16="http://schemas.microsoft.com/office/drawing/2014/main" id="{31584A48-7406-9721-7B8C-EDF3258987A4}"/>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7" name="正方形/長方形 6">
            <a:extLst>
              <a:ext uri="{FF2B5EF4-FFF2-40B4-BE49-F238E27FC236}">
                <a16:creationId xmlns:a16="http://schemas.microsoft.com/office/drawing/2014/main" id="{570B0E03-DA9E-1B3E-FE65-E602C731CBAB}"/>
              </a:ext>
            </a:extLst>
          </xdr:cNvPr>
          <xdr:cNvSpPr/>
        </xdr:nvSpPr>
        <xdr:spPr bwMode="auto">
          <a:xfrm>
            <a:off x="-16108424" y="1381274"/>
            <a:ext cx="26320649"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34901</xdr:colOff>
      <xdr:row>0</xdr:row>
      <xdr:rowOff>75213</xdr:rowOff>
    </xdr:from>
    <xdr:to>
      <xdr:col>29</xdr:col>
      <xdr:colOff>606401</xdr:colOff>
      <xdr:row>2</xdr:row>
      <xdr:rowOff>335693</xdr:rowOff>
    </xdr:to>
    <xdr:grpSp>
      <xdr:nvGrpSpPr>
        <xdr:cNvPr id="2" name="グループ化 1">
          <a:extLst>
            <a:ext uri="{FF2B5EF4-FFF2-40B4-BE49-F238E27FC236}">
              <a16:creationId xmlns:a16="http://schemas.microsoft.com/office/drawing/2014/main" id="{E12C9D06-179F-48EC-9C76-8968128410F5}"/>
            </a:ext>
          </a:extLst>
        </xdr:cNvPr>
        <xdr:cNvGrpSpPr/>
      </xdr:nvGrpSpPr>
      <xdr:grpSpPr>
        <a:xfrm>
          <a:off x="6605537" y="75213"/>
          <a:ext cx="12082220" cy="906243"/>
          <a:chOff x="-24350837" y="191476"/>
          <a:chExt cx="251074291" cy="2218353"/>
        </a:xfrm>
      </xdr:grpSpPr>
      <xdr:sp macro="" textlink="">
        <xdr:nvSpPr>
          <xdr:cNvPr id="3" name="正方形/長方形 2">
            <a:extLst>
              <a:ext uri="{FF2B5EF4-FFF2-40B4-BE49-F238E27FC236}">
                <a16:creationId xmlns:a16="http://schemas.microsoft.com/office/drawing/2014/main" id="{62FB3C23-8205-EA07-1EFD-C56619294D8C}"/>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4" name="正方形/長方形 3">
            <a:extLst>
              <a:ext uri="{FF2B5EF4-FFF2-40B4-BE49-F238E27FC236}">
                <a16:creationId xmlns:a16="http://schemas.microsoft.com/office/drawing/2014/main" id="{4E527A53-9052-E77B-813A-6CD7AD2D157D}"/>
              </a:ext>
            </a:extLst>
          </xdr:cNvPr>
          <xdr:cNvSpPr/>
        </xdr:nvSpPr>
        <xdr:spPr bwMode="auto">
          <a:xfrm>
            <a:off x="-17528505" y="1347735"/>
            <a:ext cx="26320659" cy="593611"/>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6</xdr:row>
          <xdr:rowOff>0</xdr:rowOff>
        </xdr:from>
        <xdr:to>
          <xdr:col>5</xdr:col>
          <xdr:colOff>19050</xdr:colOff>
          <xdr:row>8</xdr:row>
          <xdr:rowOff>0</xdr:rowOff>
        </xdr:to>
        <xdr:grpSp>
          <xdr:nvGrpSpPr>
            <xdr:cNvPr id="3" name="Group 41">
              <a:extLst>
                <a:ext uri="{FF2B5EF4-FFF2-40B4-BE49-F238E27FC236}">
                  <a16:creationId xmlns:a16="http://schemas.microsoft.com/office/drawing/2014/main" id="{5BD800AB-A6C1-42FB-AED1-686B962D6EFE}"/>
                </a:ext>
              </a:extLst>
            </xdr:cNvPr>
            <xdr:cNvGrpSpPr>
              <a:grpSpLocks/>
            </xdr:cNvGrpSpPr>
          </xdr:nvGrpSpPr>
          <xdr:grpSpPr bwMode="auto">
            <a:xfrm>
              <a:off x="8610600" y="2177143"/>
              <a:ext cx="3212646" cy="6123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13</xdr:row>
          <xdr:rowOff>0</xdr:rowOff>
        </xdr:from>
        <xdr:to>
          <xdr:col>5</xdr:col>
          <xdr:colOff>19050</xdr:colOff>
          <xdr:row>15</xdr:row>
          <xdr:rowOff>0</xdr:rowOff>
        </xdr:to>
        <xdr:grpSp>
          <xdr:nvGrpSpPr>
            <xdr:cNvPr id="4" name="Group 41">
              <a:extLst>
                <a:ext uri="{FF2B5EF4-FFF2-40B4-BE49-F238E27FC236}">
                  <a16:creationId xmlns:a16="http://schemas.microsoft.com/office/drawing/2014/main" id="{1638069A-A2D0-4100-85BC-8D2E10606CAB}"/>
                </a:ext>
              </a:extLst>
            </xdr:cNvPr>
            <xdr:cNvGrpSpPr>
              <a:grpSpLocks/>
            </xdr:cNvGrpSpPr>
          </xdr:nvGrpSpPr>
          <xdr:grpSpPr bwMode="auto">
            <a:xfrm>
              <a:off x="8610600" y="5357813"/>
              <a:ext cx="3212646" cy="6123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15</xdr:row>
          <xdr:rowOff>0</xdr:rowOff>
        </xdr:from>
        <xdr:to>
          <xdr:col>5</xdr:col>
          <xdr:colOff>19050</xdr:colOff>
          <xdr:row>16</xdr:row>
          <xdr:rowOff>0</xdr:rowOff>
        </xdr:to>
        <xdr:grpSp>
          <xdr:nvGrpSpPr>
            <xdr:cNvPr id="5" name="Group 41">
              <a:extLst>
                <a:ext uri="{FF2B5EF4-FFF2-40B4-BE49-F238E27FC236}">
                  <a16:creationId xmlns:a16="http://schemas.microsoft.com/office/drawing/2014/main" id="{ABE4957F-9FEE-4174-8574-E6BDC13F9FB4}"/>
                </a:ext>
              </a:extLst>
            </xdr:cNvPr>
            <xdr:cNvGrpSpPr>
              <a:grpSpLocks/>
            </xdr:cNvGrpSpPr>
          </xdr:nvGrpSpPr>
          <xdr:grpSpPr bwMode="auto">
            <a:xfrm>
              <a:off x="8610600" y="5970134"/>
              <a:ext cx="3212646" cy="204107"/>
              <a:chOff x="9239" y="107537"/>
              <a:chExt cx="2190" cy="12573"/>
            </a:xfrm>
          </xdr:grpSpPr>
        </xdr:grpSp>
        <xdr:clientData/>
      </xdr:twoCellAnchor>
    </mc:Choice>
    <mc:Fallback/>
  </mc:AlternateContent>
  <xdr:twoCellAnchor>
    <xdr:from>
      <xdr:col>11</xdr:col>
      <xdr:colOff>123799</xdr:colOff>
      <xdr:row>0</xdr:row>
      <xdr:rowOff>459241</xdr:rowOff>
    </xdr:from>
    <xdr:to>
      <xdr:col>26</xdr:col>
      <xdr:colOff>209711</xdr:colOff>
      <xdr:row>9</xdr:row>
      <xdr:rowOff>125533</xdr:rowOff>
    </xdr:to>
    <xdr:sp macro="" textlink="">
      <xdr:nvSpPr>
        <xdr:cNvPr id="6" name="テキスト ボックス 5">
          <a:extLst>
            <a:ext uri="{FF2B5EF4-FFF2-40B4-BE49-F238E27FC236}">
              <a16:creationId xmlns:a16="http://schemas.microsoft.com/office/drawing/2014/main" id="{42C407A1-24EE-48E4-8A7E-8FDA890EF52B}"/>
            </a:ext>
          </a:extLst>
        </xdr:cNvPr>
        <xdr:cNvSpPr txBox="1"/>
      </xdr:nvSpPr>
      <xdr:spPr>
        <a:xfrm>
          <a:off x="24395540" y="459241"/>
          <a:ext cx="11311805" cy="2914997"/>
        </a:xfrm>
        <a:prstGeom prst="rect">
          <a:avLst/>
        </a:prstGeom>
        <a:solidFill>
          <a:schemeClr val="lt1"/>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ＭＳ Ｐゴシック" panose="020B0600070205080204" pitchFamily="50" charset="-128"/>
              <a:ea typeface="ＭＳ Ｐゴシック" panose="020B0600070205080204" pitchFamily="50" charset="-128"/>
            </a:rPr>
            <a:t>【</a:t>
          </a:r>
          <a:r>
            <a:rPr kumimoji="1" lang="ja-JP" altLang="en-US" sz="2000">
              <a:latin typeface="ＭＳ Ｐゴシック" panose="020B0600070205080204" pitchFamily="50" charset="-128"/>
              <a:ea typeface="ＭＳ Ｐゴシック" panose="020B0600070205080204" pitchFamily="50" charset="-128"/>
            </a:rPr>
            <a:t>記入上の注意</a:t>
          </a:r>
          <a:r>
            <a:rPr kumimoji="1" lang="en-US" altLang="ja-JP" sz="2000">
              <a:latin typeface="ＭＳ Ｐゴシック" panose="020B0600070205080204" pitchFamily="50" charset="-128"/>
              <a:ea typeface="ＭＳ Ｐゴシック" panose="020B0600070205080204" pitchFamily="50" charset="-128"/>
            </a:rPr>
            <a:t>】</a:t>
          </a:r>
        </a:p>
        <a:p>
          <a:r>
            <a:rPr kumimoji="1" lang="ja-JP" altLang="en-US" sz="2000">
              <a:latin typeface="ＭＳ Ｐゴシック" panose="020B0600070205080204" pitchFamily="50" charset="-128"/>
              <a:ea typeface="ＭＳ Ｐゴシック" panose="020B0600070205080204" pitchFamily="50" charset="-128"/>
            </a:rPr>
            <a:t>・　本様式は、介護サービス事業所等が、処遇改善加算</a:t>
          </a:r>
          <a:r>
            <a:rPr kumimoji="1" lang="en-US" altLang="ja-JP" sz="2000">
              <a:latin typeface="ＭＳ Ｐゴシック" panose="020B0600070205080204" pitchFamily="50" charset="-128"/>
              <a:ea typeface="ＭＳ Ｐゴシック" panose="020B0600070205080204" pitchFamily="50" charset="-128"/>
            </a:rPr>
            <a:t>Ⅳ</a:t>
          </a:r>
          <a:r>
            <a:rPr kumimoji="1" lang="ja-JP" altLang="en-US" sz="2000">
              <a:latin typeface="ＭＳ Ｐゴシック" panose="020B0600070205080204" pitchFamily="50" charset="-128"/>
              <a:ea typeface="ＭＳ Ｐゴシック" panose="020B0600070205080204" pitchFamily="50" charset="-128"/>
            </a:rPr>
            <a:t>に準ずる要件を満たすために作成すべき「書面」のひな形として、お示しするものです。</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各欄に記載の内容は「例」であるため、事業所ごとの実態に応じて修正の上、職員への周知を行うようにしてください。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就業規則の作成義務がある事業所（常時雇用従業者が</a:t>
          </a:r>
          <a:r>
            <a:rPr kumimoji="1" lang="en-US" altLang="ja-JP" sz="2000">
              <a:latin typeface="ＭＳ Ｐゴシック" panose="020B0600070205080204" pitchFamily="50" charset="-128"/>
              <a:ea typeface="ＭＳ Ｐゴシック" panose="020B0600070205080204" pitchFamily="50" charset="-128"/>
            </a:rPr>
            <a:t>10</a:t>
          </a:r>
          <a:r>
            <a:rPr kumimoji="1" lang="ja-JP" altLang="en-US" sz="2000">
              <a:latin typeface="ＭＳ Ｐゴシック" panose="020B0600070205080204" pitchFamily="50" charset="-128"/>
              <a:ea typeface="ＭＳ Ｐゴシック" panose="020B0600070205080204" pitchFamily="50" charset="-128"/>
            </a:rPr>
            <a:t>名以上）においては、本様式とは別に、就業規則の適切な整備を行ってください。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また、本様式を用いずに、独自に書面を整備いただいても差し支えありません。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&#65279;<?xml version="1.0" encoding="utf-8" standalone="yes"?>
<Relationships xmlns="http://schemas.openxmlformats.org/package/2006/relationships">
  <Relationship Id="rId3" Type="http://schemas.openxmlformats.org/officeDocument/2006/relationships/vmlDrawing" Target="../drawings/vmlDrawing1.vml" />
  <Relationship Id="rId2" Type="http://schemas.openxmlformats.org/officeDocument/2006/relationships/drawing" Target="../drawings/drawing1.xml" />
  <Relationship Id="rId1" Type="http://schemas.openxmlformats.org/officeDocument/2006/relationships/printerSettings" Target="../printerSettings/printerSettings1.bin" />
  <Relationship Id="rId4" Type="http://schemas.openxmlformats.org/officeDocument/2006/relationships/comments" Target="../comments1.xml" />
</Relationships>
</file>

<file path=xl/worksheets/_rels/sheet2.xml.rels>&#65279;<?xml version="1.0" encoding="utf-8" standalone="yes"?>
<Relationships xmlns="http://schemas.openxmlformats.org/package/2006/relationships">
  <Relationship Id="rId8" Type="http://schemas.openxmlformats.org/officeDocument/2006/relationships/ctrlProp" Target="../ctrlProps/ctrlProp5.xml" />
  <Relationship Id="rId13" Type="http://schemas.openxmlformats.org/officeDocument/2006/relationships/ctrlProp" Target="../ctrlProps/ctrlProp10.xml" />
  <Relationship Id="rId3" Type="http://schemas.openxmlformats.org/officeDocument/2006/relationships/vmlDrawing" Target="../drawings/vmlDrawing2.vml" />
  <Relationship Id="rId7" Type="http://schemas.openxmlformats.org/officeDocument/2006/relationships/ctrlProp" Target="../ctrlProps/ctrlProp4.xml" />
  <Relationship Id="rId12" Type="http://schemas.openxmlformats.org/officeDocument/2006/relationships/ctrlProp" Target="../ctrlProps/ctrlProp9.xml" />
  <Relationship Id="rId2" Type="http://schemas.openxmlformats.org/officeDocument/2006/relationships/drawing" Target="../drawings/drawing2.xml" />
  <Relationship Id="rId1" Type="http://schemas.openxmlformats.org/officeDocument/2006/relationships/printerSettings" Target="../printerSettings/printerSettings2.bin" />
  <Relationship Id="rId6" Type="http://schemas.openxmlformats.org/officeDocument/2006/relationships/ctrlProp" Target="../ctrlProps/ctrlProp3.xml" />
  <Relationship Id="rId11" Type="http://schemas.openxmlformats.org/officeDocument/2006/relationships/ctrlProp" Target="../ctrlProps/ctrlProp8.xml" />
  <Relationship Id="rId5" Type="http://schemas.openxmlformats.org/officeDocument/2006/relationships/ctrlProp" Target="../ctrlProps/ctrlProp2.xml" />
  <Relationship Id="rId15" Type="http://schemas.openxmlformats.org/officeDocument/2006/relationships/comments" Target="../comments2.xml" />
  <Relationship Id="rId10" Type="http://schemas.openxmlformats.org/officeDocument/2006/relationships/ctrlProp" Target="../ctrlProps/ctrlProp7.xml" />
  <Relationship Id="rId4" Type="http://schemas.openxmlformats.org/officeDocument/2006/relationships/ctrlProp" Target="../ctrlProps/ctrlProp1.xml" />
  <Relationship Id="rId9" Type="http://schemas.openxmlformats.org/officeDocument/2006/relationships/ctrlProp" Target="../ctrlProps/ctrlProp6.xml" />
  <Relationship Id="rId14" Type="http://schemas.openxmlformats.org/officeDocument/2006/relationships/ctrlProp" Target="../ctrlProps/ctrlProp11.xml" />
</Relationships>
</file>

<file path=xl/worksheets/_rels/sheet3.xml.rels>&#65279;<?xml version="1.0" encoding="utf-8" standalone="yes"?>
<Relationships xmlns="http://schemas.openxmlformats.org/package/2006/relationships">
  <Relationship Id="rId3" Type="http://schemas.openxmlformats.org/officeDocument/2006/relationships/vmlDrawing" Target="../drawings/vmlDrawing3.vml" />
  <Relationship Id="rId2" Type="http://schemas.openxmlformats.org/officeDocument/2006/relationships/drawing" Target="../drawings/drawing3.xml" />
  <Relationship Id="rId1" Type="http://schemas.openxmlformats.org/officeDocument/2006/relationships/printerSettings" Target="../printerSettings/printerSettings3.bin" />
  <Relationship Id="rId4" Type="http://schemas.openxmlformats.org/officeDocument/2006/relationships/comments" Target="../comments3.xml" />
</Relationships>
</file>

<file path=xl/worksheets/_rels/sheet4.xml.rels>&#65279;<?xml version="1.0" encoding="utf-8" standalone="yes"?>
<Relationships xmlns="http://schemas.openxmlformats.org/package/2006/relationships">
  <Relationship Id="rId3" Type="http://schemas.openxmlformats.org/officeDocument/2006/relationships/vmlDrawing" Target="../drawings/vmlDrawing4.vml" />
  <Relationship Id="rId2" Type="http://schemas.openxmlformats.org/officeDocument/2006/relationships/drawing" Target="../drawings/drawing4.xml" />
  <Relationship Id="rId1" Type="http://schemas.openxmlformats.org/officeDocument/2006/relationships/printerSettings" Target="../printerSettings/printerSettings4.bin" />
  <Relationship Id="rId4" Type="http://schemas.openxmlformats.org/officeDocument/2006/relationships/comments" Target="../comments4.xml" />
</Relationships>
</file>

<file path=xl/worksheets/_rels/sheet5.xml.rels>&#65279;<?xml version="1.0" encoding="utf-8" standalone="yes"?>
<Relationships xmlns="http://schemas.openxmlformats.org/package/2006/relationships">
  <Relationship Id="rId2" Type="http://schemas.openxmlformats.org/officeDocument/2006/relationships/drawing" Target="../drawings/drawing5.xml" />
  <Relationship Id="rId1" Type="http://schemas.openxmlformats.org/officeDocument/2006/relationships/printerSettings" Target="../printerSettings/printerSettings5.bin" />
</Relationships>
</file>

<file path=xl/worksheets/_rels/sheet6.xml.rels>&#65279;<?xml version="1.0" encoding="utf-8" standalone="yes"?>
<Relationships xmlns="http://schemas.openxmlformats.org/package/2006/relationships">
  <Relationship Id="rId1" Type="http://schemas.openxmlformats.org/officeDocument/2006/relationships/printerSettings" Target="../printerSettings/printerSettings6.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Q139"/>
  <sheetViews>
    <sheetView showGridLines="0" tabSelected="1" view="pageBreakPreview" zoomScale="80" zoomScaleNormal="67" zoomScaleSheetLayoutView="80" workbookViewId="0">
      <selection activeCell="L48" sqref="L48:P48"/>
    </sheetView>
  </sheetViews>
  <sheetFormatPr defaultColWidth="9" defaultRowHeight="20.100000000000001" customHeight="1"/>
  <cols>
    <col min="1" max="1" width="6.5" style="16" customWidth="1"/>
    <col min="2" max="11" width="0.875" style="16" customWidth="1"/>
    <col min="12" max="17" width="1.5" style="16" customWidth="1"/>
    <col min="18" max="18" width="2.5" style="16" customWidth="1"/>
    <col min="19" max="19" width="1.5" style="16" customWidth="1"/>
    <col min="20" max="20" width="3.5" style="16" customWidth="1"/>
    <col min="21" max="21" width="1.75" style="16" customWidth="1"/>
    <col min="22" max="22" width="7.5" style="16" customWidth="1"/>
    <col min="23" max="23" width="14.5" style="16" customWidth="1"/>
    <col min="24" max="24" width="10.5" style="16" customWidth="1"/>
    <col min="25" max="25" width="4.875" style="16" customWidth="1"/>
    <col min="26" max="26" width="10.25" style="16" customWidth="1"/>
    <col min="27" max="27" width="10.5" style="16" customWidth="1"/>
    <col min="28" max="28" width="10.875" style="283" customWidth="1"/>
    <col min="29" max="29" width="2.75" style="283" customWidth="1"/>
    <col min="30" max="30" width="12.5" style="283" customWidth="1"/>
    <col min="31" max="31" width="10.875" style="16" customWidth="1"/>
    <col min="32" max="32" width="9.5" style="16" customWidth="1"/>
    <col min="33" max="33" width="9.5" customWidth="1"/>
    <col min="34" max="34" width="6.5" customWidth="1"/>
    <col min="35" max="35" width="18.875" customWidth="1"/>
    <col min="36" max="36" width="16.875" customWidth="1"/>
    <col min="37" max="37" width="8.875" customWidth="1"/>
    <col min="38" max="38" width="17.5" customWidth="1"/>
    <col min="39" max="39" width="14" customWidth="1"/>
    <col min="40" max="43" width="9" customWidth="1"/>
  </cols>
  <sheetData>
    <row r="1" spans="1:41" s="239" customFormat="1" ht="43.9" customHeight="1">
      <c r="A1" s="700" t="s">
        <v>0</v>
      </c>
      <c r="B1" s="700"/>
      <c r="C1" s="700"/>
      <c r="D1" s="700"/>
      <c r="E1" s="700"/>
      <c r="F1" s="700"/>
      <c r="G1" s="700"/>
      <c r="H1" s="700"/>
      <c r="I1" s="700"/>
      <c r="J1" s="700"/>
      <c r="K1" s="700"/>
      <c r="L1" s="700"/>
      <c r="M1" s="700"/>
      <c r="N1" s="700"/>
      <c r="O1" s="700"/>
      <c r="P1" s="700"/>
      <c r="Q1" s="700"/>
      <c r="R1" s="700"/>
      <c r="S1" s="700"/>
      <c r="T1" s="700"/>
      <c r="U1" s="700"/>
      <c r="V1" s="700"/>
      <c r="W1" s="700"/>
      <c r="X1" s="700"/>
      <c r="Y1" s="700"/>
      <c r="Z1" s="700"/>
      <c r="AA1" s="700"/>
      <c r="AB1" s="700"/>
      <c r="AC1" s="700"/>
      <c r="AD1" s="700"/>
      <c r="AE1" s="700"/>
      <c r="AF1" s="700"/>
      <c r="AG1" s="700"/>
      <c r="AH1" s="485"/>
      <c r="AO1" s="486" t="s">
        <v>1</v>
      </c>
    </row>
    <row r="2" spans="1:41" s="239" customFormat="1" ht="28.9" customHeight="1">
      <c r="A2" s="699" t="s">
        <v>2</v>
      </c>
      <c r="B2" s="699"/>
      <c r="C2" s="699"/>
      <c r="D2" s="699"/>
      <c r="E2" s="699"/>
      <c r="F2" s="699"/>
      <c r="G2" s="699"/>
      <c r="H2" s="699"/>
      <c r="I2" s="699"/>
      <c r="J2" s="699"/>
      <c r="K2" s="699"/>
      <c r="L2" s="699"/>
      <c r="M2" s="699"/>
      <c r="N2" s="699"/>
      <c r="O2" s="699"/>
      <c r="P2" s="699"/>
      <c r="Q2" s="699"/>
      <c r="R2" s="699"/>
      <c r="S2" s="699"/>
      <c r="T2" s="699"/>
      <c r="U2" s="699"/>
      <c r="V2" s="699"/>
      <c r="W2" s="699"/>
      <c r="X2" s="699"/>
      <c r="Y2" s="699"/>
      <c r="Z2" s="699"/>
      <c r="AA2" s="699"/>
      <c r="AB2" s="699"/>
      <c r="AC2" s="699"/>
      <c r="AD2" s="699"/>
      <c r="AE2" s="699"/>
      <c r="AF2" s="699"/>
      <c r="AG2" s="699"/>
      <c r="AH2" s="487"/>
    </row>
    <row r="3" spans="1:41" s="488" customFormat="1" ht="19.149999999999999" customHeight="1">
      <c r="A3" s="723" t="s">
        <v>3</v>
      </c>
      <c r="B3" s="723"/>
      <c r="C3" s="723"/>
      <c r="D3" s="723"/>
      <c r="E3" s="723"/>
      <c r="F3" s="723"/>
      <c r="G3" s="723"/>
      <c r="H3" s="723"/>
      <c r="I3" s="723"/>
      <c r="J3" s="723"/>
      <c r="K3" s="723"/>
      <c r="L3" s="723"/>
      <c r="M3" s="723"/>
      <c r="N3" s="723"/>
      <c r="O3" s="723"/>
      <c r="P3" s="723"/>
      <c r="Q3" s="723"/>
      <c r="R3" s="723"/>
      <c r="S3" s="723"/>
      <c r="T3" s="723"/>
      <c r="U3" s="723"/>
      <c r="V3" s="723"/>
      <c r="W3" s="723"/>
      <c r="X3" s="723"/>
      <c r="Y3" s="723"/>
      <c r="Z3" s="723"/>
      <c r="AA3" s="723"/>
      <c r="AB3" s="723"/>
      <c r="AC3" s="723"/>
      <c r="AD3" s="723"/>
      <c r="AE3" s="723"/>
      <c r="AF3" s="723"/>
      <c r="AG3" s="723"/>
      <c r="AH3" s="480"/>
    </row>
    <row r="4" spans="1:41" s="239" customFormat="1" ht="40.9" customHeight="1">
      <c r="A4" s="724" t="s">
        <v>4</v>
      </c>
      <c r="B4" s="724"/>
      <c r="C4" s="724"/>
      <c r="D4" s="724"/>
      <c r="E4" s="724"/>
      <c r="F4" s="724"/>
      <c r="G4" s="724"/>
      <c r="H4" s="724"/>
      <c r="I4" s="724"/>
      <c r="J4" s="724"/>
      <c r="K4" s="724"/>
      <c r="L4" s="724"/>
      <c r="M4" s="724"/>
      <c r="N4" s="724"/>
      <c r="O4" s="724"/>
      <c r="P4" s="724"/>
      <c r="Q4" s="724"/>
      <c r="R4" s="724"/>
      <c r="S4" s="724"/>
      <c r="T4" s="724"/>
      <c r="U4" s="724"/>
      <c r="V4" s="724"/>
      <c r="W4" s="724"/>
      <c r="X4" s="724"/>
      <c r="Y4" s="724"/>
      <c r="Z4" s="724"/>
      <c r="AA4" s="724"/>
      <c r="AB4" s="724"/>
      <c r="AC4" s="724"/>
      <c r="AD4" s="724"/>
      <c r="AE4" s="724"/>
      <c r="AF4" s="724"/>
      <c r="AG4" s="724"/>
    </row>
    <row r="5" spans="1:41" ht="20.100000000000001" customHeight="1">
      <c r="A5" s="489"/>
      <c r="B5" s="489"/>
      <c r="C5" s="489"/>
      <c r="D5" s="489"/>
      <c r="E5" s="489"/>
      <c r="F5" s="489"/>
      <c r="G5" s="489"/>
      <c r="H5" s="489"/>
      <c r="I5" s="489"/>
      <c r="J5" s="489"/>
      <c r="K5" s="489"/>
      <c r="L5" s="489"/>
      <c r="M5" s="489"/>
      <c r="N5" s="489"/>
      <c r="O5" s="489"/>
      <c r="P5" s="489"/>
      <c r="Q5" s="489"/>
      <c r="R5" s="489"/>
      <c r="S5" s="489"/>
      <c r="T5" s="489"/>
      <c r="U5" s="489"/>
      <c r="V5" s="489"/>
      <c r="W5" s="489"/>
      <c r="X5" s="489"/>
      <c r="Y5" s="489"/>
      <c r="Z5" s="489"/>
      <c r="AB5" s="16"/>
      <c r="AC5" s="16"/>
      <c r="AD5" s="16"/>
    </row>
    <row r="6" spans="1:41" ht="20.100000000000001" customHeight="1">
      <c r="A6" s="489"/>
      <c r="B6" s="489"/>
      <c r="C6" s="489"/>
      <c r="D6" s="489"/>
      <c r="E6" s="489"/>
      <c r="F6" s="489"/>
      <c r="G6" s="489"/>
      <c r="H6" s="489"/>
      <c r="I6" s="489"/>
      <c r="J6" s="489"/>
      <c r="K6" s="489"/>
      <c r="L6" s="489"/>
      <c r="M6" s="489"/>
      <c r="N6" s="489"/>
      <c r="O6" s="489"/>
      <c r="P6" s="489"/>
      <c r="Q6" s="489"/>
      <c r="R6" s="489"/>
      <c r="S6" s="489"/>
      <c r="T6" s="489"/>
      <c r="U6" s="489"/>
      <c r="V6" s="489"/>
      <c r="W6" s="489"/>
      <c r="X6" s="489"/>
      <c r="Y6" s="489"/>
      <c r="Z6" s="489"/>
      <c r="AB6" s="16"/>
      <c r="AC6" s="16"/>
      <c r="AD6" s="16"/>
    </row>
    <row r="7" spans="1:41" ht="19.899999999999999" customHeight="1">
      <c r="A7" s="489"/>
      <c r="B7" s="489"/>
      <c r="C7" s="489"/>
      <c r="D7" s="489"/>
      <c r="E7" s="489"/>
      <c r="F7" s="489"/>
      <c r="G7" s="489"/>
      <c r="H7" s="489"/>
      <c r="I7" s="489"/>
      <c r="J7" s="489"/>
      <c r="K7" s="489"/>
      <c r="L7" s="489"/>
      <c r="M7" s="489"/>
      <c r="N7" s="489"/>
      <c r="O7" s="489"/>
      <c r="P7" s="489"/>
      <c r="Q7" s="489"/>
      <c r="R7" s="489"/>
      <c r="S7" s="489"/>
      <c r="T7" s="489"/>
      <c r="U7" s="489"/>
      <c r="V7" s="489"/>
      <c r="W7" s="489"/>
      <c r="X7" s="489"/>
      <c r="Y7" s="489"/>
      <c r="Z7" s="489"/>
      <c r="AB7" s="16"/>
      <c r="AC7" s="16"/>
      <c r="AD7" s="16"/>
    </row>
    <row r="8" spans="1:41" ht="16.899999999999999" customHeight="1">
      <c r="A8" s="699"/>
      <c r="B8" s="699"/>
      <c r="C8" s="699"/>
      <c r="D8" s="699"/>
      <c r="E8" s="699"/>
      <c r="F8" s="699"/>
      <c r="G8" s="699"/>
      <c r="H8" s="699"/>
      <c r="I8" s="699"/>
      <c r="J8" s="699"/>
      <c r="K8" s="699"/>
      <c r="L8" s="699"/>
      <c r="M8" s="699"/>
      <c r="N8" s="699"/>
      <c r="O8" s="699"/>
      <c r="P8" s="699"/>
      <c r="Q8" s="699"/>
      <c r="R8" s="699"/>
      <c r="S8" s="699"/>
      <c r="T8" s="699"/>
      <c r="U8" s="699"/>
      <c r="V8" s="699"/>
      <c r="W8" s="699"/>
      <c r="X8" s="699"/>
      <c r="Y8" s="699"/>
      <c r="Z8" s="699"/>
      <c r="AA8" s="699"/>
      <c r="AB8" s="699"/>
      <c r="AC8" s="699"/>
      <c r="AD8" s="699"/>
      <c r="AE8" s="699"/>
      <c r="AF8" s="699"/>
      <c r="AG8" s="699"/>
      <c r="AH8" s="487"/>
    </row>
    <row r="9" spans="1:41" ht="24" customHeight="1">
      <c r="A9" s="490" t="s">
        <v>5</v>
      </c>
      <c r="B9" s="261"/>
      <c r="C9" s="261"/>
      <c r="D9" s="261"/>
      <c r="E9" s="261"/>
      <c r="F9" s="261"/>
      <c r="G9" s="261"/>
      <c r="H9" s="261"/>
      <c r="I9" s="261"/>
      <c r="J9" s="261"/>
      <c r="K9" s="261"/>
      <c r="L9" s="261"/>
      <c r="M9" s="261"/>
      <c r="N9" s="261"/>
      <c r="O9" s="261"/>
      <c r="P9" s="261"/>
      <c r="Q9" s="261"/>
      <c r="R9" s="261"/>
      <c r="S9" s="261"/>
      <c r="T9" s="261"/>
      <c r="U9" s="261"/>
      <c r="V9" s="261"/>
      <c r="W9" s="261"/>
      <c r="X9" s="261"/>
      <c r="Y9" s="261"/>
      <c r="Z9" s="261"/>
      <c r="AA9" s="261"/>
      <c r="AB9"/>
      <c r="AC9"/>
      <c r="AD9"/>
    </row>
    <row r="10" spans="1:41" s="261" customFormat="1" ht="18.600000000000001" customHeight="1">
      <c r="A10" s="261" t="s">
        <v>6</v>
      </c>
      <c r="B10" s="489"/>
      <c r="AE10" s="489"/>
      <c r="AF10" s="489"/>
    </row>
    <row r="11" spans="1:41" ht="19.899999999999999" customHeight="1">
      <c r="A11" s="261" t="s">
        <v>7</v>
      </c>
      <c r="B11" s="491"/>
      <c r="C11" s="717"/>
      <c r="D11" s="718"/>
      <c r="E11" s="718"/>
      <c r="F11" s="718"/>
      <c r="G11" s="718"/>
      <c r="H11" s="718"/>
      <c r="I11" s="718"/>
      <c r="J11" s="718"/>
      <c r="K11" s="718"/>
      <c r="L11" s="718"/>
      <c r="M11" s="718"/>
      <c r="N11" s="718"/>
      <c r="O11" s="718"/>
      <c r="P11" s="718"/>
      <c r="Q11" s="718"/>
      <c r="R11" s="719"/>
      <c r="S11" s="261"/>
      <c r="T11" s="261"/>
      <c r="U11" s="261"/>
      <c r="V11" s="261"/>
      <c r="W11" s="261"/>
      <c r="X11" s="261"/>
      <c r="Y11" s="261"/>
      <c r="Z11" s="261"/>
      <c r="AA11" s="261"/>
      <c r="AB11"/>
      <c r="AC11"/>
      <c r="AD11"/>
    </row>
    <row r="12" spans="1:41" ht="13.15" customHeight="1">
      <c r="A12" s="489"/>
      <c r="B12" s="489"/>
      <c r="C12"/>
      <c r="D12" s="489"/>
      <c r="E12"/>
      <c r="F12" s="489"/>
      <c r="G12" s="489"/>
      <c r="H12" s="489"/>
      <c r="I12" s="489"/>
      <c r="J12" s="489"/>
      <c r="K12" s="489"/>
      <c r="L12" s="489"/>
      <c r="M12" s="489"/>
      <c r="N12" s="489"/>
      <c r="O12" s="489"/>
      <c r="P12" s="489"/>
      <c r="Q12" s="489"/>
      <c r="R12" s="489"/>
      <c r="S12" s="489"/>
      <c r="T12" s="489"/>
      <c r="U12" s="489"/>
      <c r="V12" s="489"/>
      <c r="W12" s="489"/>
      <c r="X12" s="489"/>
      <c r="Y12" s="489"/>
      <c r="Z12"/>
      <c r="AB12" s="28"/>
      <c r="AC12" s="28"/>
      <c r="AD12" s="28"/>
    </row>
    <row r="13" spans="1:41" s="239" customFormat="1" ht="20.100000000000001" customHeight="1">
      <c r="A13" s="490" t="s">
        <v>8</v>
      </c>
      <c r="B13" s="489"/>
      <c r="C13" s="489"/>
      <c r="D13" s="489"/>
      <c r="E13" s="489"/>
      <c r="F13" s="489"/>
      <c r="G13" s="489"/>
      <c r="H13" s="489"/>
      <c r="I13" s="489"/>
      <c r="J13" s="489"/>
      <c r="K13" s="489"/>
      <c r="L13" s="489"/>
      <c r="M13" s="489"/>
      <c r="N13" s="489"/>
      <c r="O13" s="489"/>
      <c r="P13" s="489"/>
      <c r="Q13" s="489"/>
      <c r="R13" s="489"/>
      <c r="S13" s="489"/>
      <c r="T13" s="489"/>
      <c r="U13" s="489"/>
      <c r="V13" s="489"/>
      <c r="W13" s="489"/>
      <c r="X13" s="489"/>
      <c r="Y13" s="489"/>
      <c r="Z13" s="489"/>
      <c r="AA13" s="16"/>
      <c r="AB13" s="16"/>
      <c r="AC13" s="16"/>
      <c r="AD13" s="16"/>
      <c r="AE13" s="16"/>
      <c r="AF13" s="16"/>
    </row>
    <row r="14" spans="1:41" s="239" customFormat="1" ht="15.6" customHeight="1">
      <c r="A14" s="711" t="s">
        <v>9</v>
      </c>
      <c r="B14" s="711"/>
      <c r="C14" s="711"/>
      <c r="D14" s="711"/>
      <c r="E14" s="711"/>
      <c r="F14" s="711"/>
      <c r="G14" s="711"/>
      <c r="H14" s="711"/>
      <c r="I14" s="711"/>
      <c r="J14" s="711"/>
      <c r="K14" s="711"/>
      <c r="L14" s="711"/>
      <c r="M14" s="711"/>
      <c r="N14" s="711"/>
      <c r="O14" s="711"/>
      <c r="P14" s="711"/>
      <c r="Q14" s="711"/>
      <c r="R14" s="711"/>
      <c r="S14" s="711"/>
      <c r="T14" s="711"/>
      <c r="U14" s="711"/>
      <c r="V14" s="711"/>
      <c r="W14" s="711"/>
      <c r="X14" s="711"/>
      <c r="Y14" s="711"/>
      <c r="Z14" s="711"/>
      <c r="AA14" s="711"/>
      <c r="AB14" s="16"/>
      <c r="AC14" s="16"/>
      <c r="AD14" s="16"/>
      <c r="AE14" s="16"/>
      <c r="AF14" s="16"/>
    </row>
    <row r="15" spans="1:41" ht="20.100000000000001" customHeight="1">
      <c r="A15" s="715" t="s">
        <v>10</v>
      </c>
      <c r="B15" s="674" t="s">
        <v>11</v>
      </c>
      <c r="C15" s="674"/>
      <c r="D15" s="674"/>
      <c r="E15" s="674"/>
      <c r="F15" s="674"/>
      <c r="G15" s="674"/>
      <c r="H15" s="674"/>
      <c r="I15" s="674"/>
      <c r="J15" s="674"/>
      <c r="K15" s="674"/>
      <c r="L15" s="676"/>
      <c r="M15" s="677"/>
      <c r="N15" s="677"/>
      <c r="O15" s="677"/>
      <c r="P15" s="677"/>
      <c r="Q15" s="677"/>
      <c r="R15" s="677"/>
      <c r="S15" s="677"/>
      <c r="T15" s="677"/>
      <c r="U15" s="677"/>
      <c r="V15" s="677"/>
      <c r="W15" s="677"/>
      <c r="X15" s="677"/>
      <c r="Y15" s="677"/>
      <c r="Z15" s="677"/>
      <c r="AA15" s="677"/>
      <c r="AB15" s="677"/>
      <c r="AC15" s="677"/>
      <c r="AD15" s="677"/>
      <c r="AE15" s="677"/>
      <c r="AF15" s="678"/>
    </row>
    <row r="16" spans="1:41" ht="20.100000000000001" customHeight="1">
      <c r="A16" s="716"/>
      <c r="B16" s="674" t="s">
        <v>12</v>
      </c>
      <c r="C16" s="674"/>
      <c r="D16" s="674"/>
      <c r="E16" s="674"/>
      <c r="F16" s="674"/>
      <c r="G16" s="674"/>
      <c r="H16" s="674"/>
      <c r="I16" s="674"/>
      <c r="J16" s="674"/>
      <c r="K16" s="674"/>
      <c r="L16" s="676"/>
      <c r="M16" s="677"/>
      <c r="N16" s="677"/>
      <c r="O16" s="677"/>
      <c r="P16" s="677"/>
      <c r="Q16" s="677"/>
      <c r="R16" s="677"/>
      <c r="S16" s="677"/>
      <c r="T16" s="677"/>
      <c r="U16" s="677"/>
      <c r="V16" s="677"/>
      <c r="W16" s="677"/>
      <c r="X16" s="677"/>
      <c r="Y16" s="677"/>
      <c r="Z16" s="677"/>
      <c r="AA16" s="677"/>
      <c r="AB16" s="677"/>
      <c r="AC16" s="677"/>
      <c r="AD16" s="677"/>
      <c r="AE16" s="677"/>
      <c r="AF16" s="678"/>
    </row>
    <row r="17" spans="1:41" ht="20.100000000000001" customHeight="1">
      <c r="A17" s="660" t="s">
        <v>13</v>
      </c>
      <c r="B17" s="674" t="s">
        <v>14</v>
      </c>
      <c r="C17" s="674"/>
      <c r="D17" s="674"/>
      <c r="E17" s="674"/>
      <c r="F17" s="674"/>
      <c r="G17" s="674"/>
      <c r="H17" s="674"/>
      <c r="I17" s="674"/>
      <c r="J17" s="674"/>
      <c r="K17" s="674"/>
      <c r="L17" s="679"/>
      <c r="M17" s="680"/>
      <c r="N17" s="680"/>
      <c r="O17" s="681"/>
      <c r="P17" s="492" t="s">
        <v>15</v>
      </c>
      <c r="Q17" s="682"/>
      <c r="R17" s="683"/>
      <c r="S17" s="683"/>
      <c r="T17" s="683"/>
      <c r="U17" s="684"/>
      <c r="V17" s="489"/>
      <c r="W17" s="489"/>
      <c r="X17" s="489"/>
      <c r="Y17" s="489"/>
      <c r="Z17" s="489"/>
      <c r="AB17" s="16"/>
      <c r="AC17" s="16"/>
      <c r="AD17" s="16"/>
      <c r="AO17" s="282" t="s">
        <v>16</v>
      </c>
    </row>
    <row r="18" spans="1:41" ht="44.1" customHeight="1">
      <c r="A18" s="672"/>
      <c r="B18" s="675" t="s">
        <v>17</v>
      </c>
      <c r="C18" s="675"/>
      <c r="D18" s="675"/>
      <c r="E18" s="675"/>
      <c r="F18" s="675"/>
      <c r="G18" s="675"/>
      <c r="H18" s="675"/>
      <c r="I18" s="675"/>
      <c r="J18" s="675"/>
      <c r="K18" s="675"/>
      <c r="L18" s="676"/>
      <c r="M18" s="677"/>
      <c r="N18" s="677"/>
      <c r="O18" s="677"/>
      <c r="P18" s="677"/>
      <c r="Q18" s="677"/>
      <c r="R18" s="677"/>
      <c r="S18" s="677"/>
      <c r="T18" s="677"/>
      <c r="U18" s="677"/>
      <c r="V18" s="677"/>
      <c r="W18" s="677"/>
      <c r="X18" s="677"/>
      <c r="Y18" s="677"/>
      <c r="Z18" s="677"/>
      <c r="AA18" s="677"/>
      <c r="AB18" s="677"/>
      <c r="AC18" s="677"/>
      <c r="AD18" s="677"/>
      <c r="AE18" s="677"/>
      <c r="AF18" s="678"/>
      <c r="AO18" s="282" t="str">
        <f>L17&amp;"-"&amp;Q17</f>
        <v>-</v>
      </c>
    </row>
    <row r="19" spans="1:41" ht="38.25" customHeight="1">
      <c r="A19" s="673"/>
      <c r="B19" s="675" t="s">
        <v>18</v>
      </c>
      <c r="C19" s="675"/>
      <c r="D19" s="675"/>
      <c r="E19" s="675"/>
      <c r="F19" s="675"/>
      <c r="G19" s="675"/>
      <c r="H19" s="675"/>
      <c r="I19" s="675"/>
      <c r="J19" s="675"/>
      <c r="K19" s="675"/>
      <c r="L19" s="720"/>
      <c r="M19" s="721"/>
      <c r="N19" s="721"/>
      <c r="O19" s="721"/>
      <c r="P19" s="721"/>
      <c r="Q19" s="721"/>
      <c r="R19" s="721"/>
      <c r="S19" s="721"/>
      <c r="T19" s="721"/>
      <c r="U19" s="721"/>
      <c r="V19" s="721"/>
      <c r="W19" s="721"/>
      <c r="X19" s="721"/>
      <c r="Y19" s="721"/>
      <c r="Z19" s="721"/>
      <c r="AA19" s="721"/>
      <c r="AB19" s="721"/>
      <c r="AC19" s="721"/>
      <c r="AD19" s="721"/>
      <c r="AE19" s="721"/>
      <c r="AF19" s="722"/>
    </row>
    <row r="20" spans="1:41" ht="30" customHeight="1">
      <c r="A20" s="705" t="s">
        <v>19</v>
      </c>
      <c r="B20" s="704" t="s">
        <v>20</v>
      </c>
      <c r="C20" s="674"/>
      <c r="D20" s="674"/>
      <c r="E20" s="674"/>
      <c r="F20" s="674"/>
      <c r="G20" s="674"/>
      <c r="H20" s="674"/>
      <c r="I20" s="674"/>
      <c r="J20" s="674"/>
      <c r="K20" s="674"/>
      <c r="L20" s="688"/>
      <c r="M20" s="689"/>
      <c r="N20" s="689"/>
      <c r="O20" s="689"/>
      <c r="P20" s="689"/>
      <c r="Q20" s="689"/>
      <c r="R20" s="689"/>
      <c r="S20" s="689"/>
      <c r="T20" s="689"/>
      <c r="U20" s="689"/>
      <c r="V20" s="689"/>
      <c r="W20" s="689"/>
      <c r="X20" s="689"/>
      <c r="Y20" s="689"/>
      <c r="Z20" s="689"/>
      <c r="AA20" s="689"/>
      <c r="AB20" s="689"/>
      <c r="AC20" s="689"/>
      <c r="AD20" s="689"/>
      <c r="AE20" s="689"/>
      <c r="AF20" s="690"/>
    </row>
    <row r="21" spans="1:41" ht="19.5" customHeight="1">
      <c r="A21" s="706"/>
      <c r="B21" s="703" t="s">
        <v>21</v>
      </c>
      <c r="C21" s="703"/>
      <c r="D21" s="703"/>
      <c r="E21" s="703"/>
      <c r="F21" s="703"/>
      <c r="G21" s="703"/>
      <c r="H21" s="703"/>
      <c r="I21" s="703"/>
      <c r="J21" s="703"/>
      <c r="K21" s="704"/>
      <c r="L21" s="688"/>
      <c r="M21" s="689"/>
      <c r="N21" s="689"/>
      <c r="O21" s="689"/>
      <c r="P21" s="689"/>
      <c r="Q21" s="689"/>
      <c r="R21" s="689"/>
      <c r="S21" s="689"/>
      <c r="T21" s="689"/>
      <c r="U21" s="689"/>
      <c r="V21" s="689"/>
      <c r="W21" s="689"/>
      <c r="X21" s="689"/>
      <c r="Y21" s="689"/>
      <c r="Z21" s="689"/>
      <c r="AA21" s="689"/>
      <c r="AB21" s="689"/>
      <c r="AC21" s="689"/>
      <c r="AD21" s="689"/>
      <c r="AE21" s="689"/>
      <c r="AF21" s="690"/>
    </row>
    <row r="22" spans="1:41" ht="20.100000000000001" customHeight="1">
      <c r="A22" s="712" t="s">
        <v>22</v>
      </c>
      <c r="B22" s="713"/>
      <c r="C22" s="713"/>
      <c r="D22" s="713"/>
      <c r="E22" s="713"/>
      <c r="F22" s="713"/>
      <c r="G22" s="713"/>
      <c r="H22" s="713"/>
      <c r="I22" s="713"/>
      <c r="J22" s="713"/>
      <c r="K22" s="714"/>
      <c r="L22" s="685"/>
      <c r="M22" s="686"/>
      <c r="N22" s="686"/>
      <c r="O22" s="686"/>
      <c r="P22" s="686"/>
      <c r="Q22" s="686"/>
      <c r="R22" s="686"/>
      <c r="S22" s="686"/>
      <c r="T22" s="686"/>
      <c r="U22" s="686"/>
      <c r="V22" s="687"/>
      <c r="W22" s="493"/>
      <c r="X22" s="493"/>
      <c r="Y22" s="493"/>
      <c r="Z22" s="493"/>
      <c r="AA22" s="494"/>
      <c r="AB22" s="494"/>
      <c r="AC22" s="494"/>
      <c r="AD22" s="494"/>
      <c r="AE22" s="494"/>
      <c r="AF22" s="494"/>
    </row>
    <row r="23" spans="1:41" ht="20.100000000000001" customHeight="1">
      <c r="A23" s="701" t="s">
        <v>23</v>
      </c>
      <c r="B23" s="674" t="s">
        <v>11</v>
      </c>
      <c r="C23" s="674"/>
      <c r="D23" s="674"/>
      <c r="E23" s="674"/>
      <c r="F23" s="674"/>
      <c r="G23" s="674"/>
      <c r="H23" s="674"/>
      <c r="I23" s="674"/>
      <c r="J23" s="674"/>
      <c r="K23" s="674"/>
      <c r="L23" s="688"/>
      <c r="M23" s="689"/>
      <c r="N23" s="689"/>
      <c r="O23" s="689"/>
      <c r="P23" s="689"/>
      <c r="Q23" s="689"/>
      <c r="R23" s="689"/>
      <c r="S23" s="689"/>
      <c r="T23" s="689"/>
      <c r="U23" s="689"/>
      <c r="V23" s="689"/>
      <c r="W23" s="689"/>
      <c r="X23" s="690"/>
      <c r="Y23" s="493"/>
      <c r="Z23" s="493"/>
      <c r="AA23" s="494"/>
      <c r="AB23" s="494"/>
      <c r="AC23" s="494"/>
      <c r="AD23" s="494"/>
      <c r="AE23" s="494"/>
      <c r="AF23" s="494"/>
    </row>
    <row r="24" spans="1:41" ht="20.100000000000001" customHeight="1">
      <c r="A24" s="702"/>
      <c r="B24" s="710" t="s">
        <v>21</v>
      </c>
      <c r="C24" s="710"/>
      <c r="D24" s="710"/>
      <c r="E24" s="710"/>
      <c r="F24" s="710"/>
      <c r="G24" s="710"/>
      <c r="H24" s="710"/>
      <c r="I24" s="710"/>
      <c r="J24" s="710"/>
      <c r="K24" s="710"/>
      <c r="L24" s="688"/>
      <c r="M24" s="689"/>
      <c r="N24" s="689"/>
      <c r="O24" s="689"/>
      <c r="P24" s="689"/>
      <c r="Q24" s="689"/>
      <c r="R24" s="689"/>
      <c r="S24" s="689"/>
      <c r="T24" s="689"/>
      <c r="U24" s="689"/>
      <c r="V24" s="689"/>
      <c r="W24" s="689"/>
      <c r="X24" s="690"/>
      <c r="Y24" s="493"/>
      <c r="Z24" s="493"/>
      <c r="AA24" s="494"/>
      <c r="AB24" s="494"/>
      <c r="AC24" s="494"/>
      <c r="AD24" s="494"/>
      <c r="AE24" s="494"/>
      <c r="AF24" s="494"/>
    </row>
    <row r="25" spans="1:41" ht="20.100000000000001" customHeight="1">
      <c r="A25" s="660" t="s">
        <v>24</v>
      </c>
      <c r="B25" s="674" t="s">
        <v>25</v>
      </c>
      <c r="C25" s="674"/>
      <c r="D25" s="674"/>
      <c r="E25" s="674"/>
      <c r="F25" s="674"/>
      <c r="G25" s="674"/>
      <c r="H25" s="674"/>
      <c r="I25" s="674"/>
      <c r="J25" s="674"/>
      <c r="K25" s="674"/>
      <c r="L25" s="688"/>
      <c r="M25" s="689"/>
      <c r="N25" s="689"/>
      <c r="O25" s="689"/>
      <c r="P25" s="689"/>
      <c r="Q25" s="689"/>
      <c r="R25" s="689"/>
      <c r="S25" s="689"/>
      <c r="T25" s="689"/>
      <c r="U25" s="689"/>
      <c r="V25" s="689"/>
      <c r="W25" s="689"/>
      <c r="X25" s="690"/>
      <c r="Y25" s="493"/>
      <c r="Z25" s="493"/>
      <c r="AA25" s="494"/>
      <c r="AB25" s="494"/>
      <c r="AC25" s="494"/>
      <c r="AD25" s="494"/>
      <c r="AE25" s="494"/>
      <c r="AF25" s="494"/>
    </row>
    <row r="26" spans="1:41" ht="20.100000000000001" customHeight="1">
      <c r="A26" s="673"/>
      <c r="B26" s="674" t="s">
        <v>26</v>
      </c>
      <c r="C26" s="674"/>
      <c r="D26" s="674"/>
      <c r="E26" s="674"/>
      <c r="F26" s="674"/>
      <c r="G26" s="674"/>
      <c r="H26" s="674"/>
      <c r="I26" s="674"/>
      <c r="J26" s="674"/>
      <c r="K26" s="674"/>
      <c r="L26" s="707"/>
      <c r="M26" s="708"/>
      <c r="N26" s="708"/>
      <c r="O26" s="708"/>
      <c r="P26" s="708"/>
      <c r="Q26" s="708"/>
      <c r="R26" s="708"/>
      <c r="S26" s="708"/>
      <c r="T26" s="708"/>
      <c r="U26" s="708"/>
      <c r="V26" s="708"/>
      <c r="W26" s="708"/>
      <c r="X26" s="709"/>
      <c r="Y26" s="493"/>
      <c r="Z26" s="493"/>
      <c r="AA26" s="494"/>
      <c r="AB26" s="494"/>
      <c r="AC26" s="494"/>
      <c r="AD26" s="494"/>
      <c r="AE26" s="494"/>
      <c r="AF26" s="494"/>
    </row>
    <row r="27" spans="1:41" ht="13.9" customHeight="1">
      <c r="B27" s="489"/>
      <c r="C27" s="489"/>
      <c r="D27" s="489"/>
      <c r="E27" s="489"/>
      <c r="F27" s="489"/>
      <c r="G27" s="489"/>
      <c r="H27" s="489"/>
      <c r="I27" s="489"/>
      <c r="J27" s="495"/>
      <c r="K27" s="495"/>
      <c r="L27" s="496"/>
      <c r="M27" s="497"/>
      <c r="N27" s="497"/>
      <c r="O27" s="497"/>
      <c r="P27" s="497"/>
      <c r="Q27" s="497"/>
      <c r="R27" s="497"/>
      <c r="S27" s="497"/>
      <c r="T27" s="497"/>
      <c r="U27" s="497"/>
      <c r="V27" s="497"/>
      <c r="W27" s="497"/>
      <c r="X27" s="497"/>
      <c r="Y27" s="493"/>
      <c r="Z27" s="493"/>
      <c r="AA27" s="494"/>
      <c r="AB27" s="494"/>
      <c r="AC27" s="494"/>
      <c r="AD27" s="494"/>
      <c r="AE27" s="494"/>
      <c r="AF27" s="494"/>
    </row>
    <row r="28" spans="1:41" s="239" customFormat="1" ht="20.100000000000001" customHeight="1">
      <c r="A28" s="490" t="s">
        <v>27</v>
      </c>
      <c r="B28" s="489"/>
      <c r="C28" s="489"/>
      <c r="D28" s="489"/>
      <c r="E28" s="489"/>
      <c r="F28" s="489"/>
      <c r="G28" s="489"/>
      <c r="H28" s="489"/>
      <c r="I28" s="489"/>
      <c r="J28" s="489"/>
      <c r="K28" s="489"/>
      <c r="L28" s="242"/>
      <c r="M28" s="242"/>
      <c r="N28" s="242"/>
      <c r="O28" s="242"/>
      <c r="P28" s="242"/>
      <c r="Q28" s="242"/>
      <c r="R28" s="242"/>
      <c r="S28" s="242"/>
      <c r="T28" s="242"/>
      <c r="U28" s="242"/>
      <c r="V28" s="242"/>
      <c r="W28" s="242"/>
      <c r="X28" s="242"/>
      <c r="Y28" s="489"/>
      <c r="Z28" s="489"/>
      <c r="AA28" s="16"/>
      <c r="AB28" s="16"/>
      <c r="AC28" s="16"/>
      <c r="AD28" s="16"/>
      <c r="AE28" s="16"/>
      <c r="AF28" s="16"/>
    </row>
    <row r="29" spans="1:41" s="239" customFormat="1" ht="20.100000000000001" customHeight="1">
      <c r="A29" s="261" t="s">
        <v>28</v>
      </c>
      <c r="B29" s="489"/>
      <c r="C29" s="489"/>
      <c r="D29" s="489"/>
      <c r="E29" s="489"/>
      <c r="F29" s="489"/>
      <c r="G29" s="489"/>
      <c r="H29" s="489"/>
      <c r="I29" s="489"/>
      <c r="J29" s="489"/>
      <c r="K29" s="489"/>
      <c r="L29" s="489"/>
      <c r="M29" s="489"/>
      <c r="N29" s="489"/>
      <c r="O29" s="489"/>
      <c r="P29" s="489"/>
      <c r="Q29" s="489"/>
      <c r="R29" s="489"/>
      <c r="S29" s="489"/>
      <c r="T29" s="489"/>
      <c r="U29" s="489"/>
      <c r="V29" s="489"/>
      <c r="W29" s="498"/>
      <c r="X29" s="489"/>
      <c r="Y29" s="489"/>
      <c r="Z29" s="489"/>
      <c r="AA29" s="16"/>
      <c r="AB29" s="16"/>
      <c r="AC29" s="16"/>
      <c r="AD29" s="16"/>
      <c r="AE29" s="16"/>
      <c r="AF29" s="16"/>
    </row>
    <row r="30" spans="1:41" s="239" customFormat="1" ht="107.45" customHeight="1" thickBot="1">
      <c r="A30" s="699" t="s">
        <v>29</v>
      </c>
      <c r="B30" s="699"/>
      <c r="C30" s="699"/>
      <c r="D30" s="699"/>
      <c r="E30" s="699"/>
      <c r="F30" s="699"/>
      <c r="G30" s="699"/>
      <c r="H30" s="699"/>
      <c r="I30" s="699"/>
      <c r="J30" s="699"/>
      <c r="K30" s="699"/>
      <c r="L30" s="699"/>
      <c r="M30" s="699"/>
      <c r="N30" s="699"/>
      <c r="O30" s="699"/>
      <c r="P30" s="699"/>
      <c r="Q30" s="699"/>
      <c r="R30" s="699"/>
      <c r="S30" s="699"/>
      <c r="T30" s="699"/>
      <c r="U30" s="699"/>
      <c r="V30" s="699"/>
      <c r="W30" s="699"/>
      <c r="X30" s="699"/>
      <c r="Y30" s="699"/>
      <c r="Z30" s="699"/>
      <c r="AA30" s="699"/>
      <c r="AB30" s="699"/>
      <c r="AC30" s="699"/>
      <c r="AD30" s="699"/>
      <c r="AE30" s="699"/>
      <c r="AF30" s="699"/>
      <c r="AG30" s="699"/>
    </row>
    <row r="31" spans="1:41" s="239" customFormat="1" ht="23.45" customHeight="1" thickBot="1">
      <c r="A31" s="729" t="s">
        <v>30</v>
      </c>
      <c r="B31" s="729"/>
      <c r="C31" s="729"/>
      <c r="D31" s="729"/>
      <c r="E31" s="729"/>
      <c r="F31" s="729"/>
      <c r="G31" s="729"/>
      <c r="H31" s="729"/>
      <c r="I31" s="729"/>
      <c r="J31" s="729"/>
      <c r="K31" s="729"/>
      <c r="L31" s="729"/>
      <c r="M31" s="729"/>
      <c r="N31" s="729"/>
      <c r="O31" s="729"/>
      <c r="P31" s="729"/>
      <c r="Q31" s="729"/>
      <c r="R31" s="729"/>
      <c r="S31" s="729"/>
      <c r="T31" s="729"/>
      <c r="U31" s="729"/>
      <c r="V31" s="729"/>
      <c r="W31" s="729"/>
      <c r="X31" s="729"/>
      <c r="Y31" s="729"/>
      <c r="Z31" s="729"/>
      <c r="AA31" s="729"/>
      <c r="AB31" s="729"/>
      <c r="AC31" s="729"/>
      <c r="AD31" s="729"/>
      <c r="AE31" s="729"/>
      <c r="AF31" s="730"/>
      <c r="AG31" s="499" t="str">
        <f>IF(L16="","",IF(AND(W33="✓",W34="✓",W35="✓",W36="✓"),"○","×"))</f>
        <v/>
      </c>
    </row>
    <row r="32" spans="1:41" s="239" customFormat="1" ht="17.45" customHeight="1" thickBot="1">
      <c r="A32" s="238" t="s">
        <v>31</v>
      </c>
      <c r="B32" s="74"/>
      <c r="C32" s="74"/>
      <c r="D32" s="74"/>
      <c r="E32" s="74"/>
      <c r="F32" s="74"/>
      <c r="G32" s="74"/>
      <c r="H32" s="74"/>
      <c r="I32" s="74"/>
      <c r="J32" s="74"/>
      <c r="K32" s="74"/>
      <c r="L32" s="74"/>
      <c r="M32" s="74"/>
      <c r="N32" s="74"/>
      <c r="O32" s="74"/>
      <c r="P32" s="74"/>
      <c r="Q32" s="74"/>
      <c r="R32" s="74"/>
      <c r="S32" s="74"/>
      <c r="T32" s="74"/>
      <c r="U32" s="74"/>
      <c r="Y32" s="74"/>
      <c r="Z32" s="74"/>
      <c r="AA32" s="74"/>
      <c r="AB32" s="74"/>
      <c r="AC32" s="74"/>
      <c r="AD32" s="74"/>
      <c r="AE32" s="74"/>
      <c r="AF32" s="74"/>
      <c r="AG32" s="500"/>
    </row>
    <row r="33" spans="1:43" s="239" customFormat="1" ht="18">
      <c r="A33" s="694" t="s">
        <v>32</v>
      </c>
      <c r="B33" s="695"/>
      <c r="C33" s="695"/>
      <c r="D33" s="695"/>
      <c r="E33" s="695"/>
      <c r="F33" s="695"/>
      <c r="G33" s="695"/>
      <c r="H33" s="695"/>
      <c r="I33" s="695"/>
      <c r="J33" s="695"/>
      <c r="K33" s="695"/>
      <c r="L33" s="695"/>
      <c r="M33" s="695"/>
      <c r="N33" s="695"/>
      <c r="O33" s="695"/>
      <c r="P33" s="695"/>
      <c r="Q33" s="695"/>
      <c r="R33" s="695"/>
      <c r="S33" s="696"/>
      <c r="T33" s="693">
        <f>COUNTIF($Z$40:$AB$139,"*介護予防*")</f>
        <v>0</v>
      </c>
      <c r="U33" s="693"/>
      <c r="V33" s="478" t="s">
        <v>33</v>
      </c>
      <c r="W33" s="231"/>
      <c r="Y33" s="238"/>
      <c r="Z33" s="238"/>
      <c r="AA33" s="238"/>
      <c r="AB33" s="238"/>
      <c r="AC33" s="238"/>
      <c r="AD33" s="238"/>
      <c r="AE33" s="238"/>
      <c r="AF33" s="238"/>
      <c r="AG33" s="238"/>
    </row>
    <row r="34" spans="1:43" s="239" customFormat="1" ht="18">
      <c r="A34" s="694" t="s">
        <v>34</v>
      </c>
      <c r="B34" s="695"/>
      <c r="C34" s="695"/>
      <c r="D34" s="695"/>
      <c r="E34" s="695"/>
      <c r="F34" s="695"/>
      <c r="G34" s="695"/>
      <c r="H34" s="695"/>
      <c r="I34" s="695"/>
      <c r="J34" s="695"/>
      <c r="K34" s="695"/>
      <c r="L34" s="695"/>
      <c r="M34" s="695"/>
      <c r="N34" s="695"/>
      <c r="O34" s="695"/>
      <c r="P34" s="695"/>
      <c r="Q34" s="695"/>
      <c r="R34" s="695"/>
      <c r="S34" s="696"/>
      <c r="T34" s="693">
        <f>COUNTIF($Z$40:$AB$139,"*短期利用型*")</f>
        <v>0</v>
      </c>
      <c r="U34" s="693"/>
      <c r="V34" s="478" t="s">
        <v>33</v>
      </c>
      <c r="W34" s="232"/>
      <c r="Y34" s="238"/>
      <c r="Z34" s="238"/>
      <c r="AA34" s="238"/>
      <c r="AB34" s="238"/>
      <c r="AC34" s="238"/>
      <c r="AD34" s="238"/>
      <c r="AE34" s="238"/>
      <c r="AF34" s="238"/>
      <c r="AG34" s="238"/>
    </row>
    <row r="35" spans="1:43" s="239" customFormat="1" ht="18">
      <c r="A35" s="694" t="s">
        <v>35</v>
      </c>
      <c r="B35" s="695"/>
      <c r="C35" s="695"/>
      <c r="D35" s="695"/>
      <c r="E35" s="695"/>
      <c r="F35" s="695"/>
      <c r="G35" s="695"/>
      <c r="H35" s="695"/>
      <c r="I35" s="695"/>
      <c r="J35" s="695"/>
      <c r="K35" s="695"/>
      <c r="L35" s="695"/>
      <c r="M35" s="695"/>
      <c r="N35" s="695"/>
      <c r="O35" s="695"/>
      <c r="P35" s="695"/>
      <c r="Q35" s="695"/>
      <c r="R35" s="695"/>
      <c r="S35" s="696"/>
      <c r="T35" s="693">
        <f>COUNTIF($Z$40:$AB$139,"*独自*")+COUNTIF($Z$40:$AB$139,"介護予防ケアマネジメント")</f>
        <v>0</v>
      </c>
      <c r="U35" s="693"/>
      <c r="V35" s="478" t="s">
        <v>33</v>
      </c>
      <c r="W35" s="232"/>
      <c r="Y35" s="238"/>
      <c r="Z35" s="238"/>
      <c r="AA35" s="238"/>
      <c r="AB35" s="238"/>
      <c r="AC35" s="238"/>
      <c r="AD35" s="238"/>
      <c r="AE35" s="238"/>
      <c r="AF35" s="238"/>
      <c r="AG35" s="238"/>
    </row>
    <row r="36" spans="1:43" s="239" customFormat="1" ht="18.75" thickBot="1">
      <c r="A36" s="694" t="s">
        <v>36</v>
      </c>
      <c r="B36" s="695"/>
      <c r="C36" s="695"/>
      <c r="D36" s="695"/>
      <c r="E36" s="695"/>
      <c r="F36" s="695"/>
      <c r="G36" s="695"/>
      <c r="H36" s="695"/>
      <c r="I36" s="695"/>
      <c r="J36" s="695"/>
      <c r="K36" s="695"/>
      <c r="L36" s="695"/>
      <c r="M36" s="695"/>
      <c r="N36" s="695"/>
      <c r="O36" s="695"/>
      <c r="P36" s="695"/>
      <c r="Q36" s="695"/>
      <c r="R36" s="695"/>
      <c r="S36" s="696"/>
      <c r="T36" s="693">
        <f>COUNTIF(AQ40:AR139,"その他")</f>
        <v>0</v>
      </c>
      <c r="U36" s="693"/>
      <c r="V36" s="478" t="s">
        <v>33</v>
      </c>
      <c r="W36" s="233"/>
      <c r="Y36" s="238"/>
      <c r="Z36" s="238"/>
      <c r="AA36" s="238"/>
      <c r="AB36" s="238"/>
      <c r="AC36" s="238"/>
      <c r="AD36" s="238"/>
      <c r="AE36" s="238"/>
      <c r="AF36" s="238"/>
      <c r="AG36" s="238"/>
    </row>
    <row r="37" spans="1:43" s="239" customFormat="1" ht="18">
      <c r="A37" s="93"/>
      <c r="B37" s="93"/>
      <c r="C37" s="93"/>
      <c r="D37" s="93"/>
      <c r="E37" s="93"/>
      <c r="F37" s="93"/>
      <c r="G37" s="93"/>
      <c r="H37" s="93"/>
      <c r="I37" s="93"/>
      <c r="J37" s="93"/>
      <c r="K37" s="93"/>
      <c r="L37" s="93"/>
      <c r="M37" s="93"/>
      <c r="N37" s="93"/>
      <c r="O37" s="93"/>
      <c r="P37" s="93"/>
      <c r="Q37" s="93"/>
      <c r="R37" s="93"/>
      <c r="S37" s="93"/>
      <c r="T37" s="93"/>
      <c r="U37" s="93"/>
      <c r="V37" s="93"/>
      <c r="Y37" s="238"/>
      <c r="Z37" s="238"/>
      <c r="AA37" s="238"/>
      <c r="AB37" s="238"/>
      <c r="AC37" s="238"/>
      <c r="AD37" s="238"/>
      <c r="AE37" s="238"/>
      <c r="AF37" s="238"/>
      <c r="AG37" s="238"/>
    </row>
    <row r="38" spans="1:43" s="239" customFormat="1" ht="25.9" customHeight="1">
      <c r="A38" s="697" t="s">
        <v>37</v>
      </c>
      <c r="B38" s="664" t="s">
        <v>38</v>
      </c>
      <c r="C38" s="665"/>
      <c r="D38" s="665"/>
      <c r="E38" s="665"/>
      <c r="F38" s="665"/>
      <c r="G38" s="665"/>
      <c r="H38" s="665"/>
      <c r="I38" s="665"/>
      <c r="J38" s="665"/>
      <c r="K38" s="652"/>
      <c r="L38" s="664" t="s">
        <v>39</v>
      </c>
      <c r="M38" s="665"/>
      <c r="N38" s="665"/>
      <c r="O38" s="665"/>
      <c r="P38" s="652"/>
      <c r="Q38" s="654" t="s">
        <v>40</v>
      </c>
      <c r="R38" s="655"/>
      <c r="S38" s="655"/>
      <c r="T38" s="655"/>
      <c r="U38" s="655"/>
      <c r="V38" s="656"/>
      <c r="W38" s="725" t="s">
        <v>41</v>
      </c>
      <c r="X38" s="725"/>
      <c r="Y38" s="725"/>
      <c r="Z38" s="725" t="s">
        <v>42</v>
      </c>
      <c r="AA38" s="725"/>
      <c r="AB38" s="725"/>
      <c r="AC38" s="691" t="s">
        <v>43</v>
      </c>
      <c r="AD38" s="659" t="s">
        <v>44</v>
      </c>
      <c r="AE38" s="657" t="s">
        <v>45</v>
      </c>
      <c r="AF38" s="727" t="s">
        <v>46</v>
      </c>
      <c r="AG38" s="652" t="s">
        <v>47</v>
      </c>
      <c r="AH38"/>
      <c r="AI38"/>
      <c r="AJ38"/>
      <c r="AK38"/>
      <c r="AL38"/>
      <c r="AM38"/>
      <c r="AN38"/>
    </row>
    <row r="39" spans="1:43" s="239" customFormat="1" ht="47.45" customHeight="1" thickBot="1">
      <c r="A39" s="698"/>
      <c r="B39" s="666"/>
      <c r="C39" s="667"/>
      <c r="D39" s="667"/>
      <c r="E39" s="667"/>
      <c r="F39" s="667"/>
      <c r="G39" s="667"/>
      <c r="H39" s="667"/>
      <c r="I39" s="667"/>
      <c r="J39" s="667"/>
      <c r="K39" s="653"/>
      <c r="L39" s="666"/>
      <c r="M39" s="667"/>
      <c r="N39" s="667"/>
      <c r="O39" s="667"/>
      <c r="P39" s="653"/>
      <c r="Q39" s="659" t="s">
        <v>48</v>
      </c>
      <c r="R39" s="660"/>
      <c r="S39" s="660"/>
      <c r="T39" s="660"/>
      <c r="U39" s="660"/>
      <c r="V39" s="479" t="s">
        <v>49</v>
      </c>
      <c r="W39" s="659"/>
      <c r="X39" s="659"/>
      <c r="Y39" s="659"/>
      <c r="Z39" s="659"/>
      <c r="AA39" s="659"/>
      <c r="AB39" s="659"/>
      <c r="AC39" s="692"/>
      <c r="AD39" s="726"/>
      <c r="AE39" s="658"/>
      <c r="AF39" s="728"/>
      <c r="AG39" s="653"/>
      <c r="AH39"/>
      <c r="AI39"/>
      <c r="AJ39"/>
      <c r="AK39"/>
      <c r="AL39"/>
      <c r="AM39"/>
      <c r="AN39"/>
    </row>
    <row r="40" spans="1:43" ht="45" customHeight="1">
      <c r="A40" s="1030">
        <v>1</v>
      </c>
      <c r="B40" s="668"/>
      <c r="C40" s="669"/>
      <c r="D40" s="669"/>
      <c r="E40" s="669"/>
      <c r="F40" s="669"/>
      <c r="G40" s="669"/>
      <c r="H40" s="669"/>
      <c r="I40" s="669"/>
      <c r="J40" s="669"/>
      <c r="K40" s="669"/>
      <c r="L40" s="671"/>
      <c r="M40" s="671"/>
      <c r="N40" s="671"/>
      <c r="O40" s="671"/>
      <c r="P40" s="671"/>
      <c r="Q40" s="670"/>
      <c r="R40" s="670"/>
      <c r="S40" s="670"/>
      <c r="T40" s="670"/>
      <c r="U40" s="670"/>
      <c r="V40" s="477"/>
      <c r="W40" s="651"/>
      <c r="X40" s="651"/>
      <c r="Y40" s="651"/>
      <c r="Z40" s="731"/>
      <c r="AA40" s="732"/>
      <c r="AB40" s="733"/>
      <c r="AC40" s="235" t="str">
        <f>IFERROR(VLOOKUP(Z40,【参考】数式用!$A$4:$B$57,2,FALSE),"")</f>
        <v/>
      </c>
      <c r="AD40" s="481"/>
      <c r="AE40" s="482"/>
      <c r="AF40" s="237">
        <f>AD40-AE40</f>
        <v>0</v>
      </c>
      <c r="AG40" s="66" t="str">
        <f>IF(B40="","",IF(AQ40="総合事業","数式を削除して手入力",IFERROR(INDEX(【参考】数式用!$AD$3:$AF$452,MATCH(Q40&amp;V40,【参考】数式用!$AC$3:$AC$452,0),MATCH(VLOOKUP(Z40,【参考】数式用!$AG$2:$AH$56,2,FALSE),【参考】数式用!$AD$2:$AF$2,0)),10)))</f>
        <v/>
      </c>
      <c r="AH40" s="501"/>
      <c r="AI40" s="501"/>
      <c r="AJ40" s="501"/>
      <c r="AK40" s="501"/>
      <c r="AL40" s="501"/>
      <c r="AM40" s="501"/>
      <c r="AN40" s="501"/>
      <c r="AP40" s="502" t="str">
        <f>IF($L$16="", "", VLOOKUP(Z40,【参考】数式用!$A$2:$O$57,14,FALSE))</f>
        <v/>
      </c>
      <c r="AQ40" s="282" t="e">
        <f>VLOOKUP(Z40,【参考】数式用!$A$2:$O$57,15,FALSE)</f>
        <v>#N/A</v>
      </c>
    </row>
    <row r="41" spans="1:43" ht="45" customHeight="1">
      <c r="A41" s="1030">
        <f>A40+1</f>
        <v>2</v>
      </c>
      <c r="B41" s="662"/>
      <c r="C41" s="663"/>
      <c r="D41" s="663"/>
      <c r="E41" s="663"/>
      <c r="F41" s="663"/>
      <c r="G41" s="663"/>
      <c r="H41" s="663"/>
      <c r="I41" s="663"/>
      <c r="J41" s="663"/>
      <c r="K41" s="663"/>
      <c r="L41" s="661"/>
      <c r="M41" s="661"/>
      <c r="N41" s="661"/>
      <c r="O41" s="661"/>
      <c r="P41" s="661"/>
      <c r="Q41" s="650"/>
      <c r="R41" s="650"/>
      <c r="S41" s="650"/>
      <c r="T41" s="650"/>
      <c r="U41" s="650"/>
      <c r="V41" s="476"/>
      <c r="W41" s="649"/>
      <c r="X41" s="649"/>
      <c r="Y41" s="649"/>
      <c r="Z41" s="649"/>
      <c r="AA41" s="649"/>
      <c r="AB41" s="649"/>
      <c r="AC41" s="236" t="str">
        <f>IFERROR(VLOOKUP(Z41,【参考】数式用!$A$4:$B$57,2,FALSE),"")</f>
        <v/>
      </c>
      <c r="AD41" s="483"/>
      <c r="AE41" s="484"/>
      <c r="AF41" s="237">
        <f t="shared" ref="AF41:AF105" si="0">AD41-AE41</f>
        <v>0</v>
      </c>
      <c r="AG41" s="66" t="str">
        <f>IF(B41="","",IF(AQ41="総合事業","数式を削除して手入力",IFERROR(INDEX(【参考】数式用!$AD$3:$AF$452,MATCH(Q41&amp;V41,【参考】数式用!$AC$3:$AC$452,0),MATCH(VLOOKUP(Z41,【参考】数式用!$AG$2:$AH$56,2,FALSE),【参考】数式用!$AD$2:$AF$2,0)),10)))</f>
        <v/>
      </c>
      <c r="AP41" s="502" t="str">
        <f>IF($L$16="", "", VLOOKUP(Z41,【参考】数式用!$A$2:$O$57,14,FALSE))</f>
        <v/>
      </c>
      <c r="AQ41" s="282" t="e">
        <f>VLOOKUP(Z41,【参考】数式用!$A$2:$O$57,15,FALSE)</f>
        <v>#N/A</v>
      </c>
    </row>
    <row r="42" spans="1:43" ht="49.9" customHeight="1">
      <c r="A42" s="1030">
        <f t="shared" ref="A42:A105" si="1">A41+1</f>
        <v>3</v>
      </c>
      <c r="B42" s="662"/>
      <c r="C42" s="663"/>
      <c r="D42" s="663"/>
      <c r="E42" s="663"/>
      <c r="F42" s="663"/>
      <c r="G42" s="663"/>
      <c r="H42" s="663"/>
      <c r="I42" s="663"/>
      <c r="J42" s="663"/>
      <c r="K42" s="663"/>
      <c r="L42" s="661"/>
      <c r="M42" s="661"/>
      <c r="N42" s="661"/>
      <c r="O42" s="661"/>
      <c r="P42" s="661"/>
      <c r="Q42" s="650"/>
      <c r="R42" s="650"/>
      <c r="S42" s="650"/>
      <c r="T42" s="650"/>
      <c r="U42" s="650"/>
      <c r="V42" s="476"/>
      <c r="W42" s="649"/>
      <c r="X42" s="649"/>
      <c r="Y42" s="649"/>
      <c r="Z42" s="649"/>
      <c r="AA42" s="649"/>
      <c r="AB42" s="649"/>
      <c r="AC42" s="236" t="str">
        <f>IFERROR(VLOOKUP(Z42,【参考】数式用!$A$4:$B$57,2,FALSE),"")</f>
        <v/>
      </c>
      <c r="AD42" s="483"/>
      <c r="AE42" s="484"/>
      <c r="AF42" s="237">
        <f t="shared" si="0"/>
        <v>0</v>
      </c>
      <c r="AG42" s="66" t="str">
        <f>IF(B42="","",IF(AQ42="総合事業","数式を削除して手入力",IFERROR(INDEX(【参考】数式用!$AD$3:$AF$452,MATCH(Q42&amp;V42,【参考】数式用!$AC$3:$AC$452,0),MATCH(VLOOKUP(Z42,【参考】数式用!$AG$2:$AH$56,2,FALSE),【参考】数式用!$AD$2:$AF$2,0)),10)))</f>
        <v/>
      </c>
      <c r="AP42" s="502" t="str">
        <f>IF($L$16="", "", VLOOKUP(Z42,【参考】数式用!$A$2:$O$57,14,FALSE))</f>
        <v/>
      </c>
      <c r="AQ42" s="282" t="e">
        <f>VLOOKUP(Z42,【参考】数式用!$A$2:$O$57,15,FALSE)</f>
        <v>#N/A</v>
      </c>
    </row>
    <row r="43" spans="1:43" ht="49.9" customHeight="1">
      <c r="A43" s="1030">
        <f t="shared" si="1"/>
        <v>4</v>
      </c>
      <c r="B43" s="662"/>
      <c r="C43" s="663"/>
      <c r="D43" s="663"/>
      <c r="E43" s="663"/>
      <c r="F43" s="663"/>
      <c r="G43" s="663"/>
      <c r="H43" s="663"/>
      <c r="I43" s="663"/>
      <c r="J43" s="663"/>
      <c r="K43" s="663"/>
      <c r="L43" s="661"/>
      <c r="M43" s="661"/>
      <c r="N43" s="661"/>
      <c r="O43" s="661"/>
      <c r="P43" s="661"/>
      <c r="Q43" s="650"/>
      <c r="R43" s="650"/>
      <c r="S43" s="650"/>
      <c r="T43" s="650"/>
      <c r="U43" s="650"/>
      <c r="V43" s="476"/>
      <c r="W43" s="649"/>
      <c r="X43" s="649"/>
      <c r="Y43" s="649"/>
      <c r="Z43" s="649"/>
      <c r="AA43" s="649"/>
      <c r="AB43" s="649"/>
      <c r="AC43" s="236" t="str">
        <f>IFERROR(VLOOKUP(Z43,【参考】数式用!$A$4:$B$57,2,FALSE),"")</f>
        <v/>
      </c>
      <c r="AD43" s="483"/>
      <c r="AE43" s="484"/>
      <c r="AF43" s="237">
        <f t="shared" ref="AF43" si="2">AD43-AE43</f>
        <v>0</v>
      </c>
      <c r="AG43" s="66" t="str">
        <f>IF(B43="","",IF(AQ43="総合事業","数式を削除して手入力",IFERROR(INDEX(【参考】数式用!$AD$3:$AF$452,MATCH(Q43&amp;V43,【参考】数式用!$AC$3:$AC$452,0),MATCH(VLOOKUP(Z43,【参考】数式用!$AG$2:$AH$56,2,FALSE),【参考】数式用!$AD$2:$AF$2,0)),10)))</f>
        <v/>
      </c>
      <c r="AP43" s="502" t="str">
        <f>IF($L$16="", "", VLOOKUP(Z43,【参考】数式用!$A$2:$O$57,14,FALSE))</f>
        <v/>
      </c>
      <c r="AQ43" s="282" t="e">
        <f>VLOOKUP(Z43,【参考】数式用!$A$2:$O$57,15,FALSE)</f>
        <v>#N/A</v>
      </c>
    </row>
    <row r="44" spans="1:43" ht="49.9" customHeight="1">
      <c r="A44" s="1030">
        <f t="shared" si="1"/>
        <v>5</v>
      </c>
      <c r="B44" s="662"/>
      <c r="C44" s="663"/>
      <c r="D44" s="663"/>
      <c r="E44" s="663"/>
      <c r="F44" s="663"/>
      <c r="G44" s="663"/>
      <c r="H44" s="663"/>
      <c r="I44" s="663"/>
      <c r="J44" s="663"/>
      <c r="K44" s="663"/>
      <c r="L44" s="661"/>
      <c r="M44" s="661"/>
      <c r="N44" s="661"/>
      <c r="O44" s="661"/>
      <c r="P44" s="661"/>
      <c r="Q44" s="650"/>
      <c r="R44" s="650"/>
      <c r="S44" s="650"/>
      <c r="T44" s="650"/>
      <c r="U44" s="650"/>
      <c r="V44" s="476"/>
      <c r="W44" s="649"/>
      <c r="X44" s="649"/>
      <c r="Y44" s="649"/>
      <c r="Z44" s="649"/>
      <c r="AA44" s="649"/>
      <c r="AB44" s="649"/>
      <c r="AC44" s="236" t="str">
        <f>IFERROR(VLOOKUP(Z44,【参考】数式用!$A$4:$B$57,2,FALSE),"")</f>
        <v/>
      </c>
      <c r="AD44" s="483"/>
      <c r="AE44" s="484"/>
      <c r="AF44" s="237">
        <f t="shared" si="0"/>
        <v>0</v>
      </c>
      <c r="AG44" s="66" t="str">
        <f>IF(B44="","",IF(AQ44="総合事業","数式を削除して手入力",IFERROR(INDEX(【参考】数式用!$AD$3:$AF$452,MATCH(Q44&amp;V44,【参考】数式用!$AC$3:$AC$452,0),MATCH(VLOOKUP(Z44,【参考】数式用!$AG$2:$AH$56,2,FALSE),【参考】数式用!$AD$2:$AF$2,0)),10)))</f>
        <v/>
      </c>
      <c r="AP44" s="502" t="str">
        <f>IF($L$16="", "", VLOOKUP(Z44,【参考】数式用!$A$2:$O$57,14,FALSE))</f>
        <v/>
      </c>
      <c r="AQ44" s="282" t="e">
        <f>VLOOKUP(Z44,【参考】数式用!$A$2:$O$57,15,FALSE)</f>
        <v>#N/A</v>
      </c>
    </row>
    <row r="45" spans="1:43" ht="49.9" customHeight="1">
      <c r="A45" s="1030">
        <f t="shared" si="1"/>
        <v>6</v>
      </c>
      <c r="B45" s="662"/>
      <c r="C45" s="663"/>
      <c r="D45" s="663"/>
      <c r="E45" s="663"/>
      <c r="F45" s="663"/>
      <c r="G45" s="663"/>
      <c r="H45" s="663"/>
      <c r="I45" s="663"/>
      <c r="J45" s="663"/>
      <c r="K45" s="663"/>
      <c r="L45" s="661"/>
      <c r="M45" s="661"/>
      <c r="N45" s="661"/>
      <c r="O45" s="661"/>
      <c r="P45" s="661"/>
      <c r="Q45" s="650"/>
      <c r="R45" s="650"/>
      <c r="S45" s="650"/>
      <c r="T45" s="650"/>
      <c r="U45" s="650"/>
      <c r="V45" s="476"/>
      <c r="W45" s="649"/>
      <c r="X45" s="649"/>
      <c r="Y45" s="649"/>
      <c r="Z45" s="649"/>
      <c r="AA45" s="649"/>
      <c r="AB45" s="649"/>
      <c r="AC45" s="236" t="str">
        <f>IFERROR(VLOOKUP(Z45,【参考】数式用!$A$4:$B$57,2,FALSE),"")</f>
        <v/>
      </c>
      <c r="AD45" s="483"/>
      <c r="AE45" s="484"/>
      <c r="AF45" s="237">
        <f t="shared" si="0"/>
        <v>0</v>
      </c>
      <c r="AG45" s="66" t="str">
        <f>IF(B45="","",IF(AQ45="総合事業","数式を削除して手入力",IFERROR(INDEX(【参考】数式用!$AD$3:$AF$452,MATCH(Q45&amp;V45,【参考】数式用!$AC$3:$AC$452,0),MATCH(VLOOKUP(Z45,【参考】数式用!$AG$2:$AH$56,2,FALSE),【参考】数式用!$AD$2:$AF$2,0)),10)))</f>
        <v/>
      </c>
      <c r="AP45" s="502" t="str">
        <f>IF($L$16="", "", VLOOKUP(Z45,【参考】数式用!$A$2:$O$57,14,FALSE))</f>
        <v/>
      </c>
      <c r="AQ45" s="282" t="e">
        <f>VLOOKUP(Z45,【参考】数式用!$A$2:$O$57,15,FALSE)</f>
        <v>#N/A</v>
      </c>
    </row>
    <row r="46" spans="1:43" ht="49.9" customHeight="1">
      <c r="A46" s="1030">
        <f t="shared" si="1"/>
        <v>7</v>
      </c>
      <c r="B46" s="662"/>
      <c r="C46" s="663"/>
      <c r="D46" s="663"/>
      <c r="E46" s="663"/>
      <c r="F46" s="663"/>
      <c r="G46" s="663"/>
      <c r="H46" s="663"/>
      <c r="I46" s="663"/>
      <c r="J46" s="663"/>
      <c r="K46" s="663"/>
      <c r="L46" s="661"/>
      <c r="M46" s="661"/>
      <c r="N46" s="661"/>
      <c r="O46" s="661"/>
      <c r="P46" s="661"/>
      <c r="Q46" s="650"/>
      <c r="R46" s="650"/>
      <c r="S46" s="650"/>
      <c r="T46" s="650"/>
      <c r="U46" s="650"/>
      <c r="V46" s="476"/>
      <c r="W46" s="649"/>
      <c r="X46" s="649"/>
      <c r="Y46" s="649"/>
      <c r="Z46" s="649"/>
      <c r="AA46" s="649"/>
      <c r="AB46" s="649"/>
      <c r="AC46" s="236" t="str">
        <f>IFERROR(VLOOKUP(Z46,【参考】数式用!$A$4:$B$57,2,FALSE),"")</f>
        <v/>
      </c>
      <c r="AD46" s="137"/>
      <c r="AE46" s="138"/>
      <c r="AF46" s="237">
        <f t="shared" si="0"/>
        <v>0</v>
      </c>
      <c r="AG46" s="66" t="str">
        <f>IF(B46="","",IF(AQ46="総合事業","数式を削除して手入力",IFERROR(INDEX(【参考】数式用!$AD$3:$AF$452,MATCH(Q46&amp;V46,【参考】数式用!$AC$3:$AC$452,0),MATCH(VLOOKUP(Z46,【参考】数式用!$AG$2:$AH$56,2,FALSE),【参考】数式用!$AD$2:$AF$2,0)),10)))</f>
        <v/>
      </c>
      <c r="AP46" s="502" t="str">
        <f>IF($L$16="", "", VLOOKUP(Z46,【参考】数式用!$A$2:$O$57,14,FALSE))</f>
        <v/>
      </c>
      <c r="AQ46" s="282" t="e">
        <f>VLOOKUP(Z46,【参考】数式用!$A$2:$O$57,15,FALSE)</f>
        <v>#N/A</v>
      </c>
    </row>
    <row r="47" spans="1:43" ht="49.9" customHeight="1">
      <c r="A47" s="1030">
        <f t="shared" si="1"/>
        <v>8</v>
      </c>
      <c r="B47" s="662"/>
      <c r="C47" s="663"/>
      <c r="D47" s="663"/>
      <c r="E47" s="663"/>
      <c r="F47" s="663"/>
      <c r="G47" s="663"/>
      <c r="H47" s="663"/>
      <c r="I47" s="663"/>
      <c r="J47" s="663"/>
      <c r="K47" s="663"/>
      <c r="L47" s="661"/>
      <c r="M47" s="661"/>
      <c r="N47" s="661"/>
      <c r="O47" s="661"/>
      <c r="P47" s="661"/>
      <c r="Q47" s="650"/>
      <c r="R47" s="650"/>
      <c r="S47" s="650"/>
      <c r="T47" s="650"/>
      <c r="U47" s="650"/>
      <c r="V47" s="476"/>
      <c r="W47" s="649"/>
      <c r="X47" s="649"/>
      <c r="Y47" s="649"/>
      <c r="Z47" s="649"/>
      <c r="AA47" s="649"/>
      <c r="AB47" s="649"/>
      <c r="AC47" s="236" t="str">
        <f>IFERROR(VLOOKUP(Z47,【参考】数式用!$A$4:$B$57,2,FALSE),"")</f>
        <v/>
      </c>
      <c r="AD47" s="137"/>
      <c r="AE47" s="138"/>
      <c r="AF47" s="237">
        <f t="shared" si="0"/>
        <v>0</v>
      </c>
      <c r="AG47" s="66" t="str">
        <f>IF(B47="","",IF(AQ47="総合事業","数式を削除して手入力",IFERROR(INDEX(【参考】数式用!$AD$3:$AF$452,MATCH(Q47&amp;V47,【参考】数式用!$AC$3:$AC$452,0),MATCH(VLOOKUP(Z47,【参考】数式用!$AG$2:$AH$56,2,FALSE),【参考】数式用!$AD$2:$AF$2,0)),10)))</f>
        <v/>
      </c>
      <c r="AP47" s="502" t="str">
        <f>IF($L$16="", "", VLOOKUP(Z47,【参考】数式用!$A$2:$O$57,14,FALSE))</f>
        <v/>
      </c>
      <c r="AQ47" s="282" t="e">
        <f>VLOOKUP(Z47,【参考】数式用!$A$2:$O$57,15,FALSE)</f>
        <v>#N/A</v>
      </c>
    </row>
    <row r="48" spans="1:43" ht="49.9" customHeight="1">
      <c r="A48" s="1030">
        <f t="shared" si="1"/>
        <v>9</v>
      </c>
      <c r="B48" s="662"/>
      <c r="C48" s="663"/>
      <c r="D48" s="663"/>
      <c r="E48" s="663"/>
      <c r="F48" s="663"/>
      <c r="G48" s="663"/>
      <c r="H48" s="663"/>
      <c r="I48" s="663"/>
      <c r="J48" s="663"/>
      <c r="K48" s="663"/>
      <c r="L48" s="661"/>
      <c r="M48" s="661"/>
      <c r="N48" s="661"/>
      <c r="O48" s="661"/>
      <c r="P48" s="661"/>
      <c r="Q48" s="650"/>
      <c r="R48" s="650"/>
      <c r="S48" s="650"/>
      <c r="T48" s="650"/>
      <c r="U48" s="650"/>
      <c r="V48" s="476"/>
      <c r="W48" s="649"/>
      <c r="X48" s="649"/>
      <c r="Y48" s="649"/>
      <c r="Z48" s="649"/>
      <c r="AA48" s="649"/>
      <c r="AB48" s="649"/>
      <c r="AC48" s="236" t="str">
        <f>IFERROR(VLOOKUP(Z48,【参考】数式用!$A$4:$B$57,2,FALSE),"")</f>
        <v/>
      </c>
      <c r="AD48" s="137"/>
      <c r="AE48" s="138"/>
      <c r="AF48" s="237">
        <f t="shared" si="0"/>
        <v>0</v>
      </c>
      <c r="AG48" s="66" t="str">
        <f>IF(B48="","",IF(AQ48="総合事業","数式を削除して手入力",IFERROR(INDEX(【参考】数式用!$AD$3:$AF$452,MATCH(Q48&amp;V48,【参考】数式用!$AC$3:$AC$452,0),MATCH(VLOOKUP(Z48,【参考】数式用!$AG$2:$AH$56,2,FALSE),【参考】数式用!$AD$2:$AF$2,0)),10)))</f>
        <v/>
      </c>
      <c r="AP48" s="502" t="str">
        <f>IF($L$16="", "", VLOOKUP(Z48,【参考】数式用!$A$2:$O$57,14,FALSE))</f>
        <v/>
      </c>
      <c r="AQ48" s="282" t="e">
        <f>VLOOKUP(Z48,【参考】数式用!$A$2:$O$57,15,FALSE)</f>
        <v>#N/A</v>
      </c>
    </row>
    <row r="49" spans="1:43" ht="49.9" customHeight="1">
      <c r="A49" s="1030">
        <f t="shared" si="1"/>
        <v>10</v>
      </c>
      <c r="B49" s="662"/>
      <c r="C49" s="663"/>
      <c r="D49" s="663"/>
      <c r="E49" s="663"/>
      <c r="F49" s="663"/>
      <c r="G49" s="663"/>
      <c r="H49" s="663"/>
      <c r="I49" s="663"/>
      <c r="J49" s="663"/>
      <c r="K49" s="663"/>
      <c r="L49" s="661"/>
      <c r="M49" s="661"/>
      <c r="N49" s="661"/>
      <c r="O49" s="661"/>
      <c r="P49" s="661"/>
      <c r="Q49" s="650"/>
      <c r="R49" s="650"/>
      <c r="S49" s="650"/>
      <c r="T49" s="650"/>
      <c r="U49" s="650"/>
      <c r="V49" s="476"/>
      <c r="W49" s="649"/>
      <c r="X49" s="649"/>
      <c r="Y49" s="649"/>
      <c r="Z49" s="649"/>
      <c r="AA49" s="649"/>
      <c r="AB49" s="649"/>
      <c r="AC49" s="236" t="str">
        <f>IFERROR(VLOOKUP(Z49,【参考】数式用!$A$4:$B$57,2,FALSE),"")</f>
        <v/>
      </c>
      <c r="AD49" s="137"/>
      <c r="AE49" s="138"/>
      <c r="AF49" s="237">
        <f t="shared" si="0"/>
        <v>0</v>
      </c>
      <c r="AG49" s="66" t="str">
        <f>IF(B49="","",IF(AQ49="総合事業","数式を削除して手入力",IFERROR(INDEX(【参考】数式用!$AD$3:$AF$452,MATCH(Q49&amp;V49,【参考】数式用!$AC$3:$AC$452,0),MATCH(VLOOKUP(Z49,【参考】数式用!$AG$2:$AH$56,2,FALSE),【参考】数式用!$AD$2:$AF$2,0)),10)))</f>
        <v/>
      </c>
      <c r="AP49" s="502" t="str">
        <f>IF($L$16="", "", VLOOKUP(Z49,【参考】数式用!$A$2:$O$57,14,FALSE))</f>
        <v/>
      </c>
      <c r="AQ49" s="282" t="e">
        <f>VLOOKUP(Z49,【参考】数式用!$A$2:$O$57,15,FALSE)</f>
        <v>#N/A</v>
      </c>
    </row>
    <row r="50" spans="1:43" ht="49.9" customHeight="1">
      <c r="A50" s="1030">
        <f t="shared" si="1"/>
        <v>11</v>
      </c>
      <c r="B50" s="662"/>
      <c r="C50" s="663"/>
      <c r="D50" s="663"/>
      <c r="E50" s="663"/>
      <c r="F50" s="663"/>
      <c r="G50" s="663"/>
      <c r="H50" s="663"/>
      <c r="I50" s="663"/>
      <c r="J50" s="663"/>
      <c r="K50" s="663"/>
      <c r="L50" s="661"/>
      <c r="M50" s="661"/>
      <c r="N50" s="661"/>
      <c r="O50" s="661"/>
      <c r="P50" s="661"/>
      <c r="Q50" s="650"/>
      <c r="R50" s="650"/>
      <c r="S50" s="650"/>
      <c r="T50" s="650"/>
      <c r="U50" s="650"/>
      <c r="V50" s="476"/>
      <c r="W50" s="649"/>
      <c r="X50" s="649"/>
      <c r="Y50" s="649"/>
      <c r="Z50" s="649"/>
      <c r="AA50" s="649"/>
      <c r="AB50" s="649"/>
      <c r="AC50" s="236" t="str">
        <f>IFERROR(VLOOKUP(Z50,【参考】数式用!$A$4:$B$57,2,FALSE),"")</f>
        <v/>
      </c>
      <c r="AD50" s="137"/>
      <c r="AE50" s="138"/>
      <c r="AF50" s="237">
        <f t="shared" si="0"/>
        <v>0</v>
      </c>
      <c r="AG50" s="66" t="str">
        <f>IF(B50="","",IF(AQ50="総合事業","数式を削除して手入力",IFERROR(INDEX(【参考】数式用!$AD$3:$AF$452,MATCH(Q50&amp;V50,【参考】数式用!$AC$3:$AC$452,0),MATCH(VLOOKUP(Z50,【参考】数式用!$AG$2:$AH$56,2,FALSE),【参考】数式用!$AD$2:$AF$2,0)),10)))</f>
        <v/>
      </c>
      <c r="AP50" s="502" t="str">
        <f>IF($L$16="", "", VLOOKUP(Z50,【参考】数式用!$A$2:$O$57,14,FALSE))</f>
        <v/>
      </c>
      <c r="AQ50" s="282" t="e">
        <f>VLOOKUP(Z50,【参考】数式用!$A$2:$O$57,15,FALSE)</f>
        <v>#N/A</v>
      </c>
    </row>
    <row r="51" spans="1:43" ht="49.9" customHeight="1">
      <c r="A51" s="1030">
        <f t="shared" si="1"/>
        <v>12</v>
      </c>
      <c r="B51" s="662"/>
      <c r="C51" s="663"/>
      <c r="D51" s="663"/>
      <c r="E51" s="663"/>
      <c r="F51" s="663"/>
      <c r="G51" s="663"/>
      <c r="H51" s="663"/>
      <c r="I51" s="663"/>
      <c r="J51" s="663"/>
      <c r="K51" s="663"/>
      <c r="L51" s="661"/>
      <c r="M51" s="661"/>
      <c r="N51" s="661"/>
      <c r="O51" s="661"/>
      <c r="P51" s="661"/>
      <c r="Q51" s="650"/>
      <c r="R51" s="650"/>
      <c r="S51" s="650"/>
      <c r="T51" s="650"/>
      <c r="U51" s="650"/>
      <c r="V51" s="476"/>
      <c r="W51" s="649"/>
      <c r="X51" s="649"/>
      <c r="Y51" s="649"/>
      <c r="Z51" s="649"/>
      <c r="AA51" s="649"/>
      <c r="AB51" s="649"/>
      <c r="AC51" s="236" t="str">
        <f>IFERROR(VLOOKUP(Z51,【参考】数式用!$A$4:$B$57,2,FALSE),"")</f>
        <v/>
      </c>
      <c r="AD51" s="137"/>
      <c r="AE51" s="138"/>
      <c r="AF51" s="237">
        <f t="shared" si="0"/>
        <v>0</v>
      </c>
      <c r="AG51" s="66" t="str">
        <f>IF(B51="","",IF(AQ51="総合事業","数式を削除して手入力",IFERROR(INDEX(【参考】数式用!$AD$3:$AF$452,MATCH(Q51&amp;V51,【参考】数式用!$AC$3:$AC$452,0),MATCH(VLOOKUP(Z51,【参考】数式用!$AG$2:$AH$56,2,FALSE),【参考】数式用!$AD$2:$AF$2,0)),10)))</f>
        <v/>
      </c>
      <c r="AP51" s="502" t="str">
        <f>IF($L$16="", "", VLOOKUP(Z51,【参考】数式用!$A$2:$O$57,14,FALSE))</f>
        <v/>
      </c>
      <c r="AQ51" s="282" t="e">
        <f>VLOOKUP(Z51,【参考】数式用!$A$2:$O$57,15,FALSE)</f>
        <v>#N/A</v>
      </c>
    </row>
    <row r="52" spans="1:43" ht="49.9" customHeight="1">
      <c r="A52" s="1030">
        <f t="shared" si="1"/>
        <v>13</v>
      </c>
      <c r="B52" s="662"/>
      <c r="C52" s="663"/>
      <c r="D52" s="663"/>
      <c r="E52" s="663"/>
      <c r="F52" s="663"/>
      <c r="G52" s="663"/>
      <c r="H52" s="663"/>
      <c r="I52" s="663"/>
      <c r="J52" s="663"/>
      <c r="K52" s="663"/>
      <c r="L52" s="661"/>
      <c r="M52" s="661"/>
      <c r="N52" s="661"/>
      <c r="O52" s="661"/>
      <c r="P52" s="661"/>
      <c r="Q52" s="650"/>
      <c r="R52" s="650"/>
      <c r="S52" s="650"/>
      <c r="T52" s="650"/>
      <c r="U52" s="650"/>
      <c r="V52" s="476"/>
      <c r="W52" s="649"/>
      <c r="X52" s="649"/>
      <c r="Y52" s="649"/>
      <c r="Z52" s="649"/>
      <c r="AA52" s="649"/>
      <c r="AB52" s="649"/>
      <c r="AC52" s="236" t="str">
        <f>IFERROR(VLOOKUP(Z52,【参考】数式用!$A$4:$B$57,2,FALSE),"")</f>
        <v/>
      </c>
      <c r="AD52" s="137"/>
      <c r="AE52" s="138"/>
      <c r="AF52" s="237">
        <f t="shared" si="0"/>
        <v>0</v>
      </c>
      <c r="AG52" s="66" t="str">
        <f>IF(B52="","",IF(AQ52="総合事業","数式を削除して手入力",IFERROR(INDEX(【参考】数式用!$AD$3:$AF$452,MATCH(Q52&amp;V52,【参考】数式用!$AC$3:$AC$452,0),MATCH(VLOOKUP(Z52,【参考】数式用!$AG$2:$AH$56,2,FALSE),【参考】数式用!$AD$2:$AF$2,0)),10)))</f>
        <v/>
      </c>
      <c r="AP52" s="502" t="str">
        <f>IF($L$16="", "", VLOOKUP(Z52,【参考】数式用!$A$2:$O$57,14,FALSE))</f>
        <v/>
      </c>
      <c r="AQ52" s="282" t="e">
        <f>VLOOKUP(Z52,【参考】数式用!$A$2:$O$57,15,FALSE)</f>
        <v>#N/A</v>
      </c>
    </row>
    <row r="53" spans="1:43" ht="49.9" customHeight="1">
      <c r="A53" s="1030">
        <f t="shared" si="1"/>
        <v>14</v>
      </c>
      <c r="B53" s="662"/>
      <c r="C53" s="663"/>
      <c r="D53" s="663"/>
      <c r="E53" s="663"/>
      <c r="F53" s="663"/>
      <c r="G53" s="663"/>
      <c r="H53" s="663"/>
      <c r="I53" s="663"/>
      <c r="J53" s="663"/>
      <c r="K53" s="663"/>
      <c r="L53" s="661"/>
      <c r="M53" s="661"/>
      <c r="N53" s="661"/>
      <c r="O53" s="661"/>
      <c r="P53" s="661"/>
      <c r="Q53" s="650"/>
      <c r="R53" s="650"/>
      <c r="S53" s="650"/>
      <c r="T53" s="650"/>
      <c r="U53" s="650"/>
      <c r="V53" s="476"/>
      <c r="W53" s="649"/>
      <c r="X53" s="649"/>
      <c r="Y53" s="649"/>
      <c r="Z53" s="649"/>
      <c r="AA53" s="649"/>
      <c r="AB53" s="649"/>
      <c r="AC53" s="236" t="str">
        <f>IFERROR(VLOOKUP(Z53,【参考】数式用!$A$4:$B$57,2,FALSE),"")</f>
        <v/>
      </c>
      <c r="AD53" s="137"/>
      <c r="AE53" s="138"/>
      <c r="AF53" s="237">
        <f t="shared" si="0"/>
        <v>0</v>
      </c>
      <c r="AG53" s="66" t="str">
        <f>IF(B53="","",IF(AQ53="総合事業","数式を削除して手入力",IFERROR(INDEX(【参考】数式用!$AD$3:$AF$452,MATCH(Q53&amp;V53,【参考】数式用!$AC$3:$AC$452,0),MATCH(VLOOKUP(Z53,【参考】数式用!$AG$2:$AH$56,2,FALSE),【参考】数式用!$AD$2:$AF$2,0)),10)))</f>
        <v/>
      </c>
      <c r="AP53" s="502" t="str">
        <f>IF($L$16="", "", VLOOKUP(Z53,【参考】数式用!$A$2:$O$57,14,FALSE))</f>
        <v/>
      </c>
      <c r="AQ53" s="282" t="e">
        <f>VLOOKUP(Z53,【参考】数式用!$A$2:$O$57,15,FALSE)</f>
        <v>#N/A</v>
      </c>
    </row>
    <row r="54" spans="1:43" ht="49.9" customHeight="1">
      <c r="A54" s="1030">
        <f t="shared" si="1"/>
        <v>15</v>
      </c>
      <c r="B54" s="662"/>
      <c r="C54" s="663"/>
      <c r="D54" s="663"/>
      <c r="E54" s="663"/>
      <c r="F54" s="663"/>
      <c r="G54" s="663"/>
      <c r="H54" s="663"/>
      <c r="I54" s="663"/>
      <c r="J54" s="663"/>
      <c r="K54" s="663"/>
      <c r="L54" s="661"/>
      <c r="M54" s="661"/>
      <c r="N54" s="661"/>
      <c r="O54" s="661"/>
      <c r="P54" s="661"/>
      <c r="Q54" s="650"/>
      <c r="R54" s="650"/>
      <c r="S54" s="650"/>
      <c r="T54" s="650"/>
      <c r="U54" s="650"/>
      <c r="V54" s="476"/>
      <c r="W54" s="649"/>
      <c r="X54" s="649"/>
      <c r="Y54" s="649"/>
      <c r="Z54" s="649"/>
      <c r="AA54" s="649"/>
      <c r="AB54" s="649"/>
      <c r="AC54" s="236" t="str">
        <f>IFERROR(VLOOKUP(Z54,【参考】数式用!$A$4:$B$57,2,FALSE),"")</f>
        <v/>
      </c>
      <c r="AD54" s="137"/>
      <c r="AE54" s="138"/>
      <c r="AF54" s="237">
        <f t="shared" si="0"/>
        <v>0</v>
      </c>
      <c r="AG54" s="66" t="str">
        <f>IF(B54="","",IF(AQ54="総合事業","数式を削除して手入力",IFERROR(INDEX(【参考】数式用!$AD$3:$AF$452,MATCH(Q54&amp;V54,【参考】数式用!$AC$3:$AC$452,0),MATCH(VLOOKUP(Z54,【参考】数式用!$AG$2:$AH$56,2,FALSE),【参考】数式用!$AD$2:$AF$2,0)),10)))</f>
        <v/>
      </c>
      <c r="AP54" s="502" t="str">
        <f>IF($L$16="", "", VLOOKUP(Z54,【参考】数式用!$A$2:$O$57,14,FALSE))</f>
        <v/>
      </c>
      <c r="AQ54" s="282" t="e">
        <f>VLOOKUP(Z54,【参考】数式用!$A$2:$O$57,15,FALSE)</f>
        <v>#N/A</v>
      </c>
    </row>
    <row r="55" spans="1:43" ht="49.9" customHeight="1">
      <c r="A55" s="1030">
        <f t="shared" si="1"/>
        <v>16</v>
      </c>
      <c r="B55" s="662"/>
      <c r="C55" s="663"/>
      <c r="D55" s="663"/>
      <c r="E55" s="663"/>
      <c r="F55" s="663"/>
      <c r="G55" s="663"/>
      <c r="H55" s="663"/>
      <c r="I55" s="663"/>
      <c r="J55" s="663"/>
      <c r="K55" s="663"/>
      <c r="L55" s="661"/>
      <c r="M55" s="661"/>
      <c r="N55" s="661"/>
      <c r="O55" s="661"/>
      <c r="P55" s="661"/>
      <c r="Q55" s="650"/>
      <c r="R55" s="650"/>
      <c r="S55" s="650"/>
      <c r="T55" s="650"/>
      <c r="U55" s="650"/>
      <c r="V55" s="476"/>
      <c r="W55" s="649"/>
      <c r="X55" s="649"/>
      <c r="Y55" s="649"/>
      <c r="Z55" s="649"/>
      <c r="AA55" s="649"/>
      <c r="AB55" s="649"/>
      <c r="AC55" s="236" t="str">
        <f>IFERROR(VLOOKUP(Z55,【参考】数式用!$A$4:$B$57,2,FALSE),"")</f>
        <v/>
      </c>
      <c r="AD55" s="137"/>
      <c r="AE55" s="138"/>
      <c r="AF55" s="237">
        <f t="shared" si="0"/>
        <v>0</v>
      </c>
      <c r="AG55" s="66" t="str">
        <f>IF(B55="","",IF(AQ55="総合事業","数式を削除して手入力",IFERROR(INDEX(【参考】数式用!$AD$3:$AF$452,MATCH(Q55&amp;V55,【参考】数式用!$AC$3:$AC$452,0),MATCH(VLOOKUP(Z55,【参考】数式用!$AG$2:$AH$56,2,FALSE),【参考】数式用!$AD$2:$AF$2,0)),10)))</f>
        <v/>
      </c>
      <c r="AP55" s="502" t="str">
        <f>IF($L$16="", "", VLOOKUP(Z55,【参考】数式用!$A$2:$O$57,14,FALSE))</f>
        <v/>
      </c>
      <c r="AQ55" s="282" t="e">
        <f>VLOOKUP(Z55,【参考】数式用!$A$2:$O$57,15,FALSE)</f>
        <v>#N/A</v>
      </c>
    </row>
    <row r="56" spans="1:43" ht="49.9" customHeight="1">
      <c r="A56" s="1030">
        <f t="shared" si="1"/>
        <v>17</v>
      </c>
      <c r="B56" s="662"/>
      <c r="C56" s="663"/>
      <c r="D56" s="663"/>
      <c r="E56" s="663"/>
      <c r="F56" s="663"/>
      <c r="G56" s="663"/>
      <c r="H56" s="663"/>
      <c r="I56" s="663"/>
      <c r="J56" s="663"/>
      <c r="K56" s="663"/>
      <c r="L56" s="661"/>
      <c r="M56" s="661"/>
      <c r="N56" s="661"/>
      <c r="O56" s="661"/>
      <c r="P56" s="661"/>
      <c r="Q56" s="650"/>
      <c r="R56" s="650"/>
      <c r="S56" s="650"/>
      <c r="T56" s="650"/>
      <c r="U56" s="650"/>
      <c r="V56" s="476"/>
      <c r="W56" s="649"/>
      <c r="X56" s="649"/>
      <c r="Y56" s="649"/>
      <c r="Z56" s="649"/>
      <c r="AA56" s="649"/>
      <c r="AB56" s="649"/>
      <c r="AC56" s="236" t="str">
        <f>IFERROR(VLOOKUP(Z56,【参考】数式用!$A$4:$B$57,2,FALSE),"")</f>
        <v/>
      </c>
      <c r="AD56" s="137"/>
      <c r="AE56" s="138"/>
      <c r="AF56" s="237">
        <f t="shared" si="0"/>
        <v>0</v>
      </c>
      <c r="AG56" s="66" t="str">
        <f>IF(B56="","",IF(AQ56="総合事業","数式を削除して手入力",IFERROR(INDEX(【参考】数式用!$AD$3:$AF$452,MATCH(Q56&amp;V56,【参考】数式用!$AC$3:$AC$452,0),MATCH(VLOOKUP(Z56,【参考】数式用!$AG$2:$AH$56,2,FALSE),【参考】数式用!$AD$2:$AF$2,0)),10)))</f>
        <v/>
      </c>
      <c r="AP56" s="502" t="str">
        <f>IF($L$16="", "", VLOOKUP(Z56,【参考】数式用!$A$2:$O$57,14,FALSE))</f>
        <v/>
      </c>
      <c r="AQ56" s="282" t="e">
        <f>VLOOKUP(Z56,【参考】数式用!$A$2:$O$57,15,FALSE)</f>
        <v>#N/A</v>
      </c>
    </row>
    <row r="57" spans="1:43" ht="49.9" customHeight="1">
      <c r="A57" s="1030">
        <f t="shared" si="1"/>
        <v>18</v>
      </c>
      <c r="B57" s="662"/>
      <c r="C57" s="663"/>
      <c r="D57" s="663"/>
      <c r="E57" s="663"/>
      <c r="F57" s="663"/>
      <c r="G57" s="663"/>
      <c r="H57" s="663"/>
      <c r="I57" s="663"/>
      <c r="J57" s="663"/>
      <c r="K57" s="663"/>
      <c r="L57" s="661"/>
      <c r="M57" s="661"/>
      <c r="N57" s="661"/>
      <c r="O57" s="661"/>
      <c r="P57" s="661"/>
      <c r="Q57" s="650"/>
      <c r="R57" s="650"/>
      <c r="S57" s="650"/>
      <c r="T57" s="650"/>
      <c r="U57" s="650"/>
      <c r="V57" s="476"/>
      <c r="W57" s="649"/>
      <c r="X57" s="649"/>
      <c r="Y57" s="649"/>
      <c r="Z57" s="649"/>
      <c r="AA57" s="649"/>
      <c r="AB57" s="649"/>
      <c r="AC57" s="236" t="str">
        <f>IFERROR(VLOOKUP(Z57,【参考】数式用!$A$4:$B$57,2,FALSE),"")</f>
        <v/>
      </c>
      <c r="AD57" s="137"/>
      <c r="AE57" s="138"/>
      <c r="AF57" s="237">
        <f t="shared" si="0"/>
        <v>0</v>
      </c>
      <c r="AG57" s="66" t="str">
        <f>IF(B57="","",IF(AQ57="総合事業","数式を削除して手入力",IFERROR(INDEX(【参考】数式用!$AD$3:$AF$452,MATCH(Q57&amp;V57,【参考】数式用!$AC$3:$AC$452,0),MATCH(VLOOKUP(Z57,【参考】数式用!$AG$2:$AH$56,2,FALSE),【参考】数式用!$AD$2:$AF$2,0)),10)))</f>
        <v/>
      </c>
      <c r="AP57" s="502" t="str">
        <f>IF($L$16="", "", VLOOKUP(Z57,【参考】数式用!$A$2:$O$57,14,FALSE))</f>
        <v/>
      </c>
      <c r="AQ57" s="282" t="e">
        <f>VLOOKUP(Z57,【参考】数式用!$A$2:$O$57,15,FALSE)</f>
        <v>#N/A</v>
      </c>
    </row>
    <row r="58" spans="1:43" ht="49.9" customHeight="1">
      <c r="A58" s="1030">
        <f t="shared" si="1"/>
        <v>19</v>
      </c>
      <c r="B58" s="662"/>
      <c r="C58" s="663"/>
      <c r="D58" s="663"/>
      <c r="E58" s="663"/>
      <c r="F58" s="663"/>
      <c r="G58" s="663"/>
      <c r="H58" s="663"/>
      <c r="I58" s="663"/>
      <c r="J58" s="663"/>
      <c r="K58" s="663"/>
      <c r="L58" s="661"/>
      <c r="M58" s="661"/>
      <c r="N58" s="661"/>
      <c r="O58" s="661"/>
      <c r="P58" s="661"/>
      <c r="Q58" s="650"/>
      <c r="R58" s="650"/>
      <c r="S58" s="650"/>
      <c r="T58" s="650"/>
      <c r="U58" s="650"/>
      <c r="V58" s="476"/>
      <c r="W58" s="649"/>
      <c r="X58" s="649"/>
      <c r="Y58" s="649"/>
      <c r="Z58" s="649"/>
      <c r="AA58" s="649"/>
      <c r="AB58" s="649"/>
      <c r="AC58" s="236" t="str">
        <f>IFERROR(VLOOKUP(Z58,【参考】数式用!$A$4:$B$57,2,FALSE),"")</f>
        <v/>
      </c>
      <c r="AD58" s="137"/>
      <c r="AE58" s="138"/>
      <c r="AF58" s="237">
        <f t="shared" si="0"/>
        <v>0</v>
      </c>
      <c r="AG58" s="66" t="str">
        <f>IF(B58="","",IF(AQ58="総合事業","数式を削除して手入力",IFERROR(INDEX(【参考】数式用!$AD$3:$AF$452,MATCH(Q58&amp;V58,【参考】数式用!$AC$3:$AC$452,0),MATCH(VLOOKUP(Z58,【参考】数式用!$AG$2:$AH$56,2,FALSE),【参考】数式用!$AD$2:$AF$2,0)),10)))</f>
        <v/>
      </c>
      <c r="AP58" s="502" t="str">
        <f>IF($L$16="", "", VLOOKUP(Z58,【参考】数式用!$A$2:$O$57,14,FALSE))</f>
        <v/>
      </c>
      <c r="AQ58" s="282" t="e">
        <f>VLOOKUP(Z58,【参考】数式用!$A$2:$O$57,15,FALSE)</f>
        <v>#N/A</v>
      </c>
    </row>
    <row r="59" spans="1:43" ht="49.9" customHeight="1">
      <c r="A59" s="1030">
        <f t="shared" si="1"/>
        <v>20</v>
      </c>
      <c r="B59" s="662"/>
      <c r="C59" s="663"/>
      <c r="D59" s="663"/>
      <c r="E59" s="663"/>
      <c r="F59" s="663"/>
      <c r="G59" s="663"/>
      <c r="H59" s="663"/>
      <c r="I59" s="663"/>
      <c r="J59" s="663"/>
      <c r="K59" s="663"/>
      <c r="L59" s="661"/>
      <c r="M59" s="661"/>
      <c r="N59" s="661"/>
      <c r="O59" s="661"/>
      <c r="P59" s="661"/>
      <c r="Q59" s="650"/>
      <c r="R59" s="650"/>
      <c r="S59" s="650"/>
      <c r="T59" s="650"/>
      <c r="U59" s="650"/>
      <c r="V59" s="476"/>
      <c r="W59" s="649"/>
      <c r="X59" s="649"/>
      <c r="Y59" s="649"/>
      <c r="Z59" s="649"/>
      <c r="AA59" s="649"/>
      <c r="AB59" s="649"/>
      <c r="AC59" s="236" t="str">
        <f>IFERROR(VLOOKUP(Z59,【参考】数式用!$A$4:$B$57,2,FALSE),"")</f>
        <v/>
      </c>
      <c r="AD59" s="137"/>
      <c r="AE59" s="138"/>
      <c r="AF59" s="237">
        <f t="shared" si="0"/>
        <v>0</v>
      </c>
      <c r="AG59" s="66" t="str">
        <f>IF(B59="","",IF(AQ59="総合事業","数式を削除して手入力",IFERROR(INDEX(【参考】数式用!$AD$3:$AF$452,MATCH(Q59&amp;V59,【参考】数式用!$AC$3:$AC$452,0),MATCH(VLOOKUP(Z59,【参考】数式用!$AG$2:$AH$56,2,FALSE),【参考】数式用!$AD$2:$AF$2,0)),10)))</f>
        <v/>
      </c>
      <c r="AP59" s="502" t="str">
        <f>IF($L$16="", "", VLOOKUP(Z59,【参考】数式用!$A$2:$O$57,14,FALSE))</f>
        <v/>
      </c>
      <c r="AQ59" s="282" t="e">
        <f>VLOOKUP(Z59,【参考】数式用!$A$2:$O$57,15,FALSE)</f>
        <v>#N/A</v>
      </c>
    </row>
    <row r="60" spans="1:43" ht="49.9" customHeight="1">
      <c r="A60" s="1030">
        <f t="shared" si="1"/>
        <v>21</v>
      </c>
      <c r="B60" s="662"/>
      <c r="C60" s="663"/>
      <c r="D60" s="663"/>
      <c r="E60" s="663"/>
      <c r="F60" s="663"/>
      <c r="G60" s="663"/>
      <c r="H60" s="663"/>
      <c r="I60" s="663"/>
      <c r="J60" s="663"/>
      <c r="K60" s="663"/>
      <c r="L60" s="661"/>
      <c r="M60" s="661"/>
      <c r="N60" s="661"/>
      <c r="O60" s="661"/>
      <c r="P60" s="661"/>
      <c r="Q60" s="650"/>
      <c r="R60" s="650"/>
      <c r="S60" s="650"/>
      <c r="T60" s="650"/>
      <c r="U60" s="650"/>
      <c r="V60" s="476"/>
      <c r="W60" s="649"/>
      <c r="X60" s="649"/>
      <c r="Y60" s="649"/>
      <c r="Z60" s="649"/>
      <c r="AA60" s="649"/>
      <c r="AB60" s="649"/>
      <c r="AC60" s="236" t="str">
        <f>IFERROR(VLOOKUP(Z60,【参考】数式用!$A$4:$B$57,2,FALSE),"")</f>
        <v/>
      </c>
      <c r="AD60" s="137"/>
      <c r="AE60" s="138"/>
      <c r="AF60" s="237">
        <f t="shared" si="0"/>
        <v>0</v>
      </c>
      <c r="AG60" s="66" t="str">
        <f>IF(B60="","",IF(AQ60="総合事業","数式を削除して手入力",IFERROR(INDEX(【参考】数式用!$AD$3:$AF$452,MATCH(Q60&amp;V60,【参考】数式用!$AC$3:$AC$452,0),MATCH(VLOOKUP(Z60,【参考】数式用!$AG$2:$AH$56,2,FALSE),【参考】数式用!$AD$2:$AF$2,0)),10)))</f>
        <v/>
      </c>
      <c r="AP60" s="502" t="str">
        <f>IF($L$16="", "", VLOOKUP(Z60,【参考】数式用!$A$2:$O$57,14,FALSE))</f>
        <v/>
      </c>
      <c r="AQ60" s="282" t="e">
        <f>VLOOKUP(Z60,【参考】数式用!$A$2:$O$57,15,FALSE)</f>
        <v>#N/A</v>
      </c>
    </row>
    <row r="61" spans="1:43" ht="49.9" customHeight="1">
      <c r="A61" s="1030">
        <f t="shared" si="1"/>
        <v>22</v>
      </c>
      <c r="B61" s="662"/>
      <c r="C61" s="663"/>
      <c r="D61" s="663"/>
      <c r="E61" s="663"/>
      <c r="F61" s="663"/>
      <c r="G61" s="663"/>
      <c r="H61" s="663"/>
      <c r="I61" s="663"/>
      <c r="J61" s="663"/>
      <c r="K61" s="663"/>
      <c r="L61" s="661"/>
      <c r="M61" s="661"/>
      <c r="N61" s="661"/>
      <c r="O61" s="661"/>
      <c r="P61" s="661"/>
      <c r="Q61" s="650"/>
      <c r="R61" s="650"/>
      <c r="S61" s="650"/>
      <c r="T61" s="650"/>
      <c r="U61" s="650"/>
      <c r="V61" s="476"/>
      <c r="W61" s="649"/>
      <c r="X61" s="649"/>
      <c r="Y61" s="649"/>
      <c r="Z61" s="649"/>
      <c r="AA61" s="649"/>
      <c r="AB61" s="649"/>
      <c r="AC61" s="236" t="str">
        <f>IFERROR(VLOOKUP(Z61,【参考】数式用!$A$4:$B$57,2,FALSE),"")</f>
        <v/>
      </c>
      <c r="AD61" s="137"/>
      <c r="AE61" s="138"/>
      <c r="AF61" s="237">
        <f t="shared" si="0"/>
        <v>0</v>
      </c>
      <c r="AG61" s="66" t="str">
        <f>IF(B61="","",IF(AQ61="総合事業","数式を削除して手入力",IFERROR(INDEX(【参考】数式用!$AD$3:$AF$452,MATCH(Q61&amp;V61,【参考】数式用!$AC$3:$AC$452,0),MATCH(VLOOKUP(Z61,【参考】数式用!$AG$2:$AH$56,2,FALSE),【参考】数式用!$AD$2:$AF$2,0)),10)))</f>
        <v/>
      </c>
      <c r="AP61" s="502" t="str">
        <f>IF($L$16="", "", VLOOKUP(Z61,【参考】数式用!$A$2:$O$57,14,FALSE))</f>
        <v/>
      </c>
      <c r="AQ61" s="282" t="e">
        <f>VLOOKUP(Z61,【参考】数式用!$A$2:$O$57,15,FALSE)</f>
        <v>#N/A</v>
      </c>
    </row>
    <row r="62" spans="1:43" ht="49.9" customHeight="1">
      <c r="A62" s="1030">
        <f t="shared" si="1"/>
        <v>23</v>
      </c>
      <c r="B62" s="662"/>
      <c r="C62" s="663"/>
      <c r="D62" s="663"/>
      <c r="E62" s="663"/>
      <c r="F62" s="663"/>
      <c r="G62" s="663"/>
      <c r="H62" s="663"/>
      <c r="I62" s="663"/>
      <c r="J62" s="663"/>
      <c r="K62" s="663"/>
      <c r="L62" s="661"/>
      <c r="M62" s="661"/>
      <c r="N62" s="661"/>
      <c r="O62" s="661"/>
      <c r="P62" s="661"/>
      <c r="Q62" s="650"/>
      <c r="R62" s="650"/>
      <c r="S62" s="650"/>
      <c r="T62" s="650"/>
      <c r="U62" s="650"/>
      <c r="V62" s="476"/>
      <c r="W62" s="649"/>
      <c r="X62" s="649"/>
      <c r="Y62" s="649"/>
      <c r="Z62" s="649"/>
      <c r="AA62" s="649"/>
      <c r="AB62" s="649"/>
      <c r="AC62" s="236" t="str">
        <f>IFERROR(VLOOKUP(Z62,【参考】数式用!$A$4:$B$57,2,FALSE),"")</f>
        <v/>
      </c>
      <c r="AD62" s="137"/>
      <c r="AE62" s="138"/>
      <c r="AF62" s="237">
        <f t="shared" si="0"/>
        <v>0</v>
      </c>
      <c r="AG62" s="66" t="str">
        <f>IF(B62="","",IF(AQ62="総合事業","数式を削除して手入力",IFERROR(INDEX(【参考】数式用!$AD$3:$AF$452,MATCH(Q62&amp;V62,【参考】数式用!$AC$3:$AC$452,0),MATCH(VLOOKUP(Z62,【参考】数式用!$AG$2:$AH$56,2,FALSE),【参考】数式用!$AD$2:$AF$2,0)),10)))</f>
        <v/>
      </c>
      <c r="AP62" s="502" t="str">
        <f>IF($L$16="", "", VLOOKUP(Z62,【参考】数式用!$A$2:$O$57,14,FALSE))</f>
        <v/>
      </c>
      <c r="AQ62" s="282" t="e">
        <f>VLOOKUP(Z62,【参考】数式用!$A$2:$O$57,15,FALSE)</f>
        <v>#N/A</v>
      </c>
    </row>
    <row r="63" spans="1:43" ht="49.9" customHeight="1">
      <c r="A63" s="1030">
        <f t="shared" si="1"/>
        <v>24</v>
      </c>
      <c r="B63" s="662"/>
      <c r="C63" s="663"/>
      <c r="D63" s="663"/>
      <c r="E63" s="663"/>
      <c r="F63" s="663"/>
      <c r="G63" s="663"/>
      <c r="H63" s="663"/>
      <c r="I63" s="663"/>
      <c r="J63" s="663"/>
      <c r="K63" s="663"/>
      <c r="L63" s="661"/>
      <c r="M63" s="661"/>
      <c r="N63" s="661"/>
      <c r="O63" s="661"/>
      <c r="P63" s="661"/>
      <c r="Q63" s="650"/>
      <c r="R63" s="650"/>
      <c r="S63" s="650"/>
      <c r="T63" s="650"/>
      <c r="U63" s="650"/>
      <c r="V63" s="476"/>
      <c r="W63" s="649"/>
      <c r="X63" s="649"/>
      <c r="Y63" s="649"/>
      <c r="Z63" s="649"/>
      <c r="AA63" s="649"/>
      <c r="AB63" s="649"/>
      <c r="AC63" s="236" t="str">
        <f>IFERROR(VLOOKUP(Z63,【参考】数式用!$A$4:$B$57,2,FALSE),"")</f>
        <v/>
      </c>
      <c r="AD63" s="137"/>
      <c r="AE63" s="138"/>
      <c r="AF63" s="237">
        <f t="shared" si="0"/>
        <v>0</v>
      </c>
      <c r="AG63" s="66" t="str">
        <f>IF(B63="","",IF(AQ63="総合事業","数式を削除して手入力",IFERROR(INDEX(【参考】数式用!$AD$3:$AF$452,MATCH(Q63&amp;V63,【参考】数式用!$AC$3:$AC$452,0),MATCH(VLOOKUP(Z63,【参考】数式用!$AG$2:$AH$56,2,FALSE),【参考】数式用!$AD$2:$AF$2,0)),10)))</f>
        <v/>
      </c>
      <c r="AP63" s="502" t="str">
        <f>IF($L$16="", "", VLOOKUP(Z63,【参考】数式用!$A$2:$O$57,14,FALSE))</f>
        <v/>
      </c>
      <c r="AQ63" s="282" t="e">
        <f>VLOOKUP(Z63,【参考】数式用!$A$2:$O$57,15,FALSE)</f>
        <v>#N/A</v>
      </c>
    </row>
    <row r="64" spans="1:43" ht="49.9" customHeight="1">
      <c r="A64" s="1030">
        <f t="shared" si="1"/>
        <v>25</v>
      </c>
      <c r="B64" s="662"/>
      <c r="C64" s="663"/>
      <c r="D64" s="663"/>
      <c r="E64" s="663"/>
      <c r="F64" s="663"/>
      <c r="G64" s="663"/>
      <c r="H64" s="663"/>
      <c r="I64" s="663"/>
      <c r="J64" s="663"/>
      <c r="K64" s="663"/>
      <c r="L64" s="661"/>
      <c r="M64" s="661"/>
      <c r="N64" s="661"/>
      <c r="O64" s="661"/>
      <c r="P64" s="661"/>
      <c r="Q64" s="650"/>
      <c r="R64" s="650"/>
      <c r="S64" s="650"/>
      <c r="T64" s="650"/>
      <c r="U64" s="650"/>
      <c r="V64" s="476"/>
      <c r="W64" s="649"/>
      <c r="X64" s="649"/>
      <c r="Y64" s="649"/>
      <c r="Z64" s="649"/>
      <c r="AA64" s="649"/>
      <c r="AB64" s="649"/>
      <c r="AC64" s="236" t="str">
        <f>IFERROR(VLOOKUP(Z64,【参考】数式用!$A$4:$B$57,2,FALSE),"")</f>
        <v/>
      </c>
      <c r="AD64" s="137"/>
      <c r="AE64" s="138"/>
      <c r="AF64" s="237">
        <f t="shared" si="0"/>
        <v>0</v>
      </c>
      <c r="AG64" s="66" t="str">
        <f>IF(B64="","",IF(AQ64="総合事業","数式を削除して手入力",IFERROR(INDEX(【参考】数式用!$AD$3:$AF$452,MATCH(Q64&amp;V64,【参考】数式用!$AC$3:$AC$452,0),MATCH(VLOOKUP(Z64,【参考】数式用!$AG$2:$AH$56,2,FALSE),【参考】数式用!$AD$2:$AF$2,0)),10)))</f>
        <v/>
      </c>
      <c r="AP64" s="502" t="str">
        <f>IF($L$16="", "", VLOOKUP(Z64,【参考】数式用!$A$2:$O$57,14,FALSE))</f>
        <v/>
      </c>
      <c r="AQ64" s="282" t="e">
        <f>VLOOKUP(Z64,【参考】数式用!$A$2:$O$57,15,FALSE)</f>
        <v>#N/A</v>
      </c>
    </row>
    <row r="65" spans="1:43" ht="49.9" customHeight="1">
      <c r="A65" s="1030">
        <f t="shared" si="1"/>
        <v>26</v>
      </c>
      <c r="B65" s="662"/>
      <c r="C65" s="663"/>
      <c r="D65" s="663"/>
      <c r="E65" s="663"/>
      <c r="F65" s="663"/>
      <c r="G65" s="663"/>
      <c r="H65" s="663"/>
      <c r="I65" s="663"/>
      <c r="J65" s="663"/>
      <c r="K65" s="663"/>
      <c r="L65" s="661"/>
      <c r="M65" s="661"/>
      <c r="N65" s="661"/>
      <c r="O65" s="661"/>
      <c r="P65" s="661"/>
      <c r="Q65" s="650"/>
      <c r="R65" s="650"/>
      <c r="S65" s="650"/>
      <c r="T65" s="650"/>
      <c r="U65" s="650"/>
      <c r="V65" s="476"/>
      <c r="W65" s="649"/>
      <c r="X65" s="649"/>
      <c r="Y65" s="649"/>
      <c r="Z65" s="649"/>
      <c r="AA65" s="649"/>
      <c r="AB65" s="649"/>
      <c r="AC65" s="236" t="str">
        <f>IFERROR(VLOOKUP(Z65,【参考】数式用!$A$4:$B$57,2,FALSE),"")</f>
        <v/>
      </c>
      <c r="AD65" s="137"/>
      <c r="AE65" s="138"/>
      <c r="AF65" s="237">
        <f t="shared" si="0"/>
        <v>0</v>
      </c>
      <c r="AG65" s="66" t="str">
        <f>IF(B65="","",IF(AQ65="総合事業","数式を削除して手入力",IFERROR(INDEX(【参考】数式用!$AD$3:$AF$452,MATCH(Q65&amp;V65,【参考】数式用!$AC$3:$AC$452,0),MATCH(VLOOKUP(Z65,【参考】数式用!$AG$2:$AH$56,2,FALSE),【参考】数式用!$AD$2:$AF$2,0)),10)))</f>
        <v/>
      </c>
      <c r="AP65" s="502" t="str">
        <f>IF($L$16="", "", VLOOKUP(Z65,【参考】数式用!$A$2:$O$57,14,FALSE))</f>
        <v/>
      </c>
      <c r="AQ65" s="282" t="e">
        <f>VLOOKUP(Z65,【参考】数式用!$A$2:$O$57,15,FALSE)</f>
        <v>#N/A</v>
      </c>
    </row>
    <row r="66" spans="1:43" ht="49.9" customHeight="1">
      <c r="A66" s="1030">
        <f t="shared" si="1"/>
        <v>27</v>
      </c>
      <c r="B66" s="662"/>
      <c r="C66" s="663"/>
      <c r="D66" s="663"/>
      <c r="E66" s="663"/>
      <c r="F66" s="663"/>
      <c r="G66" s="663"/>
      <c r="H66" s="663"/>
      <c r="I66" s="663"/>
      <c r="J66" s="663"/>
      <c r="K66" s="663"/>
      <c r="L66" s="661"/>
      <c r="M66" s="661"/>
      <c r="N66" s="661"/>
      <c r="O66" s="661"/>
      <c r="P66" s="661"/>
      <c r="Q66" s="650"/>
      <c r="R66" s="650"/>
      <c r="S66" s="650"/>
      <c r="T66" s="650"/>
      <c r="U66" s="650"/>
      <c r="V66" s="476"/>
      <c r="W66" s="649"/>
      <c r="X66" s="649"/>
      <c r="Y66" s="649"/>
      <c r="Z66" s="649"/>
      <c r="AA66" s="649"/>
      <c r="AB66" s="649"/>
      <c r="AC66" s="236" t="str">
        <f>IFERROR(VLOOKUP(Z66,【参考】数式用!$A$4:$B$57,2,FALSE),"")</f>
        <v/>
      </c>
      <c r="AD66" s="137"/>
      <c r="AE66" s="138"/>
      <c r="AF66" s="237">
        <f t="shared" si="0"/>
        <v>0</v>
      </c>
      <c r="AG66" s="66" t="str">
        <f>IF(B66="","",IF(AQ66="総合事業","数式を削除して手入力",IFERROR(INDEX(【参考】数式用!$AD$3:$AF$452,MATCH(Q66&amp;V66,【参考】数式用!$AC$3:$AC$452,0),MATCH(VLOOKUP(Z66,【参考】数式用!$AG$2:$AH$56,2,FALSE),【参考】数式用!$AD$2:$AF$2,0)),10)))</f>
        <v/>
      </c>
      <c r="AP66" s="502" t="str">
        <f>IF($L$16="", "", VLOOKUP(Z66,【参考】数式用!$A$2:$O$57,14,FALSE))</f>
        <v/>
      </c>
      <c r="AQ66" s="282" t="e">
        <f>VLOOKUP(Z66,【参考】数式用!$A$2:$O$57,15,FALSE)</f>
        <v>#N/A</v>
      </c>
    </row>
    <row r="67" spans="1:43" ht="49.9" customHeight="1">
      <c r="A67" s="1030">
        <f t="shared" si="1"/>
        <v>28</v>
      </c>
      <c r="B67" s="662"/>
      <c r="C67" s="663"/>
      <c r="D67" s="663"/>
      <c r="E67" s="663"/>
      <c r="F67" s="663"/>
      <c r="G67" s="663"/>
      <c r="H67" s="663"/>
      <c r="I67" s="663"/>
      <c r="J67" s="663"/>
      <c r="K67" s="663"/>
      <c r="L67" s="661"/>
      <c r="M67" s="661"/>
      <c r="N67" s="661"/>
      <c r="O67" s="661"/>
      <c r="P67" s="661"/>
      <c r="Q67" s="650"/>
      <c r="R67" s="650"/>
      <c r="S67" s="650"/>
      <c r="T67" s="650"/>
      <c r="U67" s="650"/>
      <c r="V67" s="476"/>
      <c r="W67" s="649"/>
      <c r="X67" s="649"/>
      <c r="Y67" s="649"/>
      <c r="Z67" s="649"/>
      <c r="AA67" s="649"/>
      <c r="AB67" s="649"/>
      <c r="AC67" s="236" t="str">
        <f>IFERROR(VLOOKUP(Z67,【参考】数式用!$A$4:$B$57,2,FALSE),"")</f>
        <v/>
      </c>
      <c r="AD67" s="137"/>
      <c r="AE67" s="138"/>
      <c r="AF67" s="237">
        <f t="shared" si="0"/>
        <v>0</v>
      </c>
      <c r="AG67" s="66" t="str">
        <f>IF(B67="","",IF(AQ67="総合事業","数式を削除して手入力",IFERROR(INDEX(【参考】数式用!$AD$3:$AF$452,MATCH(Q67&amp;V67,【参考】数式用!$AC$3:$AC$452,0),MATCH(VLOOKUP(Z67,【参考】数式用!$AG$2:$AH$56,2,FALSE),【参考】数式用!$AD$2:$AF$2,0)),10)))</f>
        <v/>
      </c>
      <c r="AP67" s="502" t="str">
        <f>IF($L$16="", "", VLOOKUP(Z67,【参考】数式用!$A$2:$O$57,14,FALSE))</f>
        <v/>
      </c>
      <c r="AQ67" s="282" t="e">
        <f>VLOOKUP(Z67,【参考】数式用!$A$2:$O$57,15,FALSE)</f>
        <v>#N/A</v>
      </c>
    </row>
    <row r="68" spans="1:43" ht="49.9" customHeight="1">
      <c r="A68" s="1030">
        <f t="shared" si="1"/>
        <v>29</v>
      </c>
      <c r="B68" s="662"/>
      <c r="C68" s="663"/>
      <c r="D68" s="663"/>
      <c r="E68" s="663"/>
      <c r="F68" s="663"/>
      <c r="G68" s="663"/>
      <c r="H68" s="663"/>
      <c r="I68" s="663"/>
      <c r="J68" s="663"/>
      <c r="K68" s="663"/>
      <c r="L68" s="661"/>
      <c r="M68" s="661"/>
      <c r="N68" s="661"/>
      <c r="O68" s="661"/>
      <c r="P68" s="661"/>
      <c r="Q68" s="650"/>
      <c r="R68" s="650"/>
      <c r="S68" s="650"/>
      <c r="T68" s="650"/>
      <c r="U68" s="650"/>
      <c r="V68" s="476"/>
      <c r="W68" s="649"/>
      <c r="X68" s="649"/>
      <c r="Y68" s="649"/>
      <c r="Z68" s="649"/>
      <c r="AA68" s="649"/>
      <c r="AB68" s="649"/>
      <c r="AC68" s="236" t="str">
        <f>IFERROR(VLOOKUP(Z68,【参考】数式用!$A$4:$B$57,2,FALSE),"")</f>
        <v/>
      </c>
      <c r="AD68" s="137"/>
      <c r="AE68" s="138"/>
      <c r="AF68" s="237">
        <f t="shared" si="0"/>
        <v>0</v>
      </c>
      <c r="AG68" s="66" t="str">
        <f>IF(B68="","",IF(AQ68="総合事業","数式を削除して手入力",IFERROR(INDEX(【参考】数式用!$AD$3:$AF$452,MATCH(Q68&amp;V68,【参考】数式用!$AC$3:$AC$452,0),MATCH(VLOOKUP(Z68,【参考】数式用!$AG$2:$AH$56,2,FALSE),【参考】数式用!$AD$2:$AF$2,0)),10)))</f>
        <v/>
      </c>
      <c r="AP68" s="502" t="str">
        <f>IF($L$16="", "", VLOOKUP(Z68,【参考】数式用!$A$2:$O$57,14,FALSE))</f>
        <v/>
      </c>
      <c r="AQ68" s="282" t="e">
        <f>VLOOKUP(Z68,【参考】数式用!$A$2:$O$57,15,FALSE)</f>
        <v>#N/A</v>
      </c>
    </row>
    <row r="69" spans="1:43" ht="49.9" customHeight="1">
      <c r="A69" s="1030">
        <f t="shared" si="1"/>
        <v>30</v>
      </c>
      <c r="B69" s="662"/>
      <c r="C69" s="663"/>
      <c r="D69" s="663"/>
      <c r="E69" s="663"/>
      <c r="F69" s="663"/>
      <c r="G69" s="663"/>
      <c r="H69" s="663"/>
      <c r="I69" s="663"/>
      <c r="J69" s="663"/>
      <c r="K69" s="663"/>
      <c r="L69" s="661"/>
      <c r="M69" s="661"/>
      <c r="N69" s="661"/>
      <c r="O69" s="661"/>
      <c r="P69" s="661"/>
      <c r="Q69" s="650"/>
      <c r="R69" s="650"/>
      <c r="S69" s="650"/>
      <c r="T69" s="650"/>
      <c r="U69" s="650"/>
      <c r="V69" s="476"/>
      <c r="W69" s="649"/>
      <c r="X69" s="649"/>
      <c r="Y69" s="649"/>
      <c r="Z69" s="649"/>
      <c r="AA69" s="649"/>
      <c r="AB69" s="649"/>
      <c r="AC69" s="236" t="str">
        <f>IFERROR(VLOOKUP(Z69,【参考】数式用!$A$4:$B$57,2,FALSE),"")</f>
        <v/>
      </c>
      <c r="AD69" s="137"/>
      <c r="AE69" s="138"/>
      <c r="AF69" s="237">
        <f t="shared" si="0"/>
        <v>0</v>
      </c>
      <c r="AG69" s="66" t="str">
        <f>IF(B69="","",IF(AQ69="総合事業","数式を削除して手入力",IFERROR(INDEX(【参考】数式用!$AD$3:$AF$452,MATCH(Q69&amp;V69,【参考】数式用!$AC$3:$AC$452,0),MATCH(VLOOKUP(Z69,【参考】数式用!$AG$2:$AH$56,2,FALSE),【参考】数式用!$AD$2:$AF$2,0)),10)))</f>
        <v/>
      </c>
      <c r="AP69" s="502" t="str">
        <f>IF($L$16="", "", VLOOKUP(Z69,【参考】数式用!$A$2:$O$57,14,FALSE))</f>
        <v/>
      </c>
      <c r="AQ69" s="282" t="e">
        <f>VLOOKUP(Z69,【参考】数式用!$A$2:$O$57,15,FALSE)</f>
        <v>#N/A</v>
      </c>
    </row>
    <row r="70" spans="1:43" ht="49.9" customHeight="1">
      <c r="A70" s="1030">
        <f t="shared" si="1"/>
        <v>31</v>
      </c>
      <c r="B70" s="662"/>
      <c r="C70" s="663"/>
      <c r="D70" s="663"/>
      <c r="E70" s="663"/>
      <c r="F70" s="663"/>
      <c r="G70" s="663"/>
      <c r="H70" s="663"/>
      <c r="I70" s="663"/>
      <c r="J70" s="663"/>
      <c r="K70" s="663"/>
      <c r="L70" s="661"/>
      <c r="M70" s="661"/>
      <c r="N70" s="661"/>
      <c r="O70" s="661"/>
      <c r="P70" s="661"/>
      <c r="Q70" s="650"/>
      <c r="R70" s="650"/>
      <c r="S70" s="650"/>
      <c r="T70" s="650"/>
      <c r="U70" s="650"/>
      <c r="V70" s="476"/>
      <c r="W70" s="649"/>
      <c r="X70" s="649"/>
      <c r="Y70" s="649"/>
      <c r="Z70" s="649"/>
      <c r="AA70" s="649"/>
      <c r="AB70" s="649"/>
      <c r="AC70" s="236" t="str">
        <f>IFERROR(VLOOKUP(Z70,【参考】数式用!$A$4:$B$57,2,FALSE),"")</f>
        <v/>
      </c>
      <c r="AD70" s="137"/>
      <c r="AE70" s="138"/>
      <c r="AF70" s="237">
        <f t="shared" si="0"/>
        <v>0</v>
      </c>
      <c r="AG70" s="66" t="str">
        <f>IF(B70="","",IF(AQ70="総合事業","数式を削除して手入力",IFERROR(INDEX(【参考】数式用!$AD$3:$AF$452,MATCH(Q70&amp;V70,【参考】数式用!$AC$3:$AC$452,0),MATCH(VLOOKUP(Z70,【参考】数式用!$AG$2:$AH$56,2,FALSE),【参考】数式用!$AD$2:$AF$2,0)),10)))</f>
        <v/>
      </c>
      <c r="AP70" s="502" t="str">
        <f>IF($L$16="", "", VLOOKUP(Z70,【参考】数式用!$A$2:$O$57,14,FALSE))</f>
        <v/>
      </c>
      <c r="AQ70" s="282" t="e">
        <f>VLOOKUP(Z70,【参考】数式用!$A$2:$O$57,15,FALSE)</f>
        <v>#N/A</v>
      </c>
    </row>
    <row r="71" spans="1:43" ht="49.9" customHeight="1">
      <c r="A71" s="1030">
        <f t="shared" si="1"/>
        <v>32</v>
      </c>
      <c r="B71" s="662"/>
      <c r="C71" s="663"/>
      <c r="D71" s="663"/>
      <c r="E71" s="663"/>
      <c r="F71" s="663"/>
      <c r="G71" s="663"/>
      <c r="H71" s="663"/>
      <c r="I71" s="663"/>
      <c r="J71" s="663"/>
      <c r="K71" s="663"/>
      <c r="L71" s="661"/>
      <c r="M71" s="661"/>
      <c r="N71" s="661"/>
      <c r="O71" s="661"/>
      <c r="P71" s="661"/>
      <c r="Q71" s="650"/>
      <c r="R71" s="650"/>
      <c r="S71" s="650"/>
      <c r="T71" s="650"/>
      <c r="U71" s="650"/>
      <c r="V71" s="476"/>
      <c r="W71" s="649"/>
      <c r="X71" s="649"/>
      <c r="Y71" s="649"/>
      <c r="Z71" s="649"/>
      <c r="AA71" s="649"/>
      <c r="AB71" s="649"/>
      <c r="AC71" s="236" t="str">
        <f>IFERROR(VLOOKUP(Z71,【参考】数式用!$A$4:$B$57,2,FALSE),"")</f>
        <v/>
      </c>
      <c r="AD71" s="137"/>
      <c r="AE71" s="138"/>
      <c r="AF71" s="237">
        <f t="shared" si="0"/>
        <v>0</v>
      </c>
      <c r="AG71" s="66" t="str">
        <f>IF(B71="","",IF(AQ71="総合事業","数式を削除して手入力",IFERROR(INDEX(【参考】数式用!$AD$3:$AF$452,MATCH(Q71&amp;V71,【参考】数式用!$AC$3:$AC$452,0),MATCH(VLOOKUP(Z71,【参考】数式用!$AG$2:$AH$56,2,FALSE),【参考】数式用!$AD$2:$AF$2,0)),10)))</f>
        <v/>
      </c>
      <c r="AP71" s="502" t="str">
        <f>IF($L$16="", "", VLOOKUP(Z71,【参考】数式用!$A$2:$O$57,14,FALSE))</f>
        <v/>
      </c>
      <c r="AQ71" s="282" t="e">
        <f>VLOOKUP(Z71,【参考】数式用!$A$2:$O$57,15,FALSE)</f>
        <v>#N/A</v>
      </c>
    </row>
    <row r="72" spans="1:43" ht="49.9" customHeight="1">
      <c r="A72" s="1030">
        <f t="shared" si="1"/>
        <v>33</v>
      </c>
      <c r="B72" s="662"/>
      <c r="C72" s="663"/>
      <c r="D72" s="663"/>
      <c r="E72" s="663"/>
      <c r="F72" s="663"/>
      <c r="G72" s="663"/>
      <c r="H72" s="663"/>
      <c r="I72" s="663"/>
      <c r="J72" s="663"/>
      <c r="K72" s="663"/>
      <c r="L72" s="661"/>
      <c r="M72" s="661"/>
      <c r="N72" s="661"/>
      <c r="O72" s="661"/>
      <c r="P72" s="661"/>
      <c r="Q72" s="650"/>
      <c r="R72" s="650"/>
      <c r="S72" s="650"/>
      <c r="T72" s="650"/>
      <c r="U72" s="650"/>
      <c r="V72" s="476"/>
      <c r="W72" s="649"/>
      <c r="X72" s="649"/>
      <c r="Y72" s="649"/>
      <c r="Z72" s="649"/>
      <c r="AA72" s="649"/>
      <c r="AB72" s="649"/>
      <c r="AC72" s="236" t="str">
        <f>IFERROR(VLOOKUP(Z72,【参考】数式用!$A$4:$B$57,2,FALSE),"")</f>
        <v/>
      </c>
      <c r="AD72" s="137"/>
      <c r="AE72" s="138"/>
      <c r="AF72" s="237">
        <f t="shared" si="0"/>
        <v>0</v>
      </c>
      <c r="AG72" s="66" t="str">
        <f>IF(B72="","",IF(AQ72="総合事業","数式を削除して手入力",IFERROR(INDEX(【参考】数式用!$AD$3:$AF$452,MATCH(Q72&amp;V72,【参考】数式用!$AC$3:$AC$452,0),MATCH(VLOOKUP(Z72,【参考】数式用!$AG$2:$AH$56,2,FALSE),【参考】数式用!$AD$2:$AF$2,0)),10)))</f>
        <v/>
      </c>
      <c r="AP72" s="502" t="str">
        <f>IF($L$16="", "", VLOOKUP(Z72,【参考】数式用!$A$2:$O$57,14,FALSE))</f>
        <v/>
      </c>
      <c r="AQ72" s="282" t="e">
        <f>VLOOKUP(Z72,【参考】数式用!$A$2:$O$57,15,FALSE)</f>
        <v>#N/A</v>
      </c>
    </row>
    <row r="73" spans="1:43" ht="49.9" customHeight="1">
      <c r="A73" s="1030">
        <f t="shared" si="1"/>
        <v>34</v>
      </c>
      <c r="B73" s="662"/>
      <c r="C73" s="663"/>
      <c r="D73" s="663"/>
      <c r="E73" s="663"/>
      <c r="F73" s="663"/>
      <c r="G73" s="663"/>
      <c r="H73" s="663"/>
      <c r="I73" s="663"/>
      <c r="J73" s="663"/>
      <c r="K73" s="663"/>
      <c r="L73" s="661"/>
      <c r="M73" s="661"/>
      <c r="N73" s="661"/>
      <c r="O73" s="661"/>
      <c r="P73" s="661"/>
      <c r="Q73" s="650"/>
      <c r="R73" s="650"/>
      <c r="S73" s="650"/>
      <c r="T73" s="650"/>
      <c r="U73" s="650"/>
      <c r="V73" s="476"/>
      <c r="W73" s="649"/>
      <c r="X73" s="649"/>
      <c r="Y73" s="649"/>
      <c r="Z73" s="649"/>
      <c r="AA73" s="649"/>
      <c r="AB73" s="649"/>
      <c r="AC73" s="236" t="str">
        <f>IFERROR(VLOOKUP(Z73,【参考】数式用!$A$4:$B$57,2,FALSE),"")</f>
        <v/>
      </c>
      <c r="AD73" s="137"/>
      <c r="AE73" s="138"/>
      <c r="AF73" s="237">
        <f t="shared" si="0"/>
        <v>0</v>
      </c>
      <c r="AG73" s="66" t="str">
        <f>IF(B73="","",IF(AQ73="総合事業","数式を削除して手入力",IFERROR(INDEX(【参考】数式用!$AD$3:$AF$452,MATCH(Q73&amp;V73,【参考】数式用!$AC$3:$AC$452,0),MATCH(VLOOKUP(Z73,【参考】数式用!$AG$2:$AH$56,2,FALSE),【参考】数式用!$AD$2:$AF$2,0)),10)))</f>
        <v/>
      </c>
      <c r="AP73" s="502" t="str">
        <f>IF($L$16="", "", VLOOKUP(Z73,【参考】数式用!$A$2:$O$57,14,FALSE))</f>
        <v/>
      </c>
      <c r="AQ73" s="282" t="e">
        <f>VLOOKUP(Z73,【参考】数式用!$A$2:$O$57,15,FALSE)</f>
        <v>#N/A</v>
      </c>
    </row>
    <row r="74" spans="1:43" ht="49.9" customHeight="1">
      <c r="A74" s="1030">
        <f t="shared" si="1"/>
        <v>35</v>
      </c>
      <c r="B74" s="662"/>
      <c r="C74" s="663"/>
      <c r="D74" s="663"/>
      <c r="E74" s="663"/>
      <c r="F74" s="663"/>
      <c r="G74" s="663"/>
      <c r="H74" s="663"/>
      <c r="I74" s="663"/>
      <c r="J74" s="663"/>
      <c r="K74" s="663"/>
      <c r="L74" s="661"/>
      <c r="M74" s="661"/>
      <c r="N74" s="661"/>
      <c r="O74" s="661"/>
      <c r="P74" s="661"/>
      <c r="Q74" s="650"/>
      <c r="R74" s="650"/>
      <c r="S74" s="650"/>
      <c r="T74" s="650"/>
      <c r="U74" s="650"/>
      <c r="V74" s="476"/>
      <c r="W74" s="649"/>
      <c r="X74" s="649"/>
      <c r="Y74" s="649"/>
      <c r="Z74" s="649"/>
      <c r="AA74" s="649"/>
      <c r="AB74" s="649"/>
      <c r="AC74" s="236" t="str">
        <f>IFERROR(VLOOKUP(Z74,【参考】数式用!$A$4:$B$57,2,FALSE),"")</f>
        <v/>
      </c>
      <c r="AD74" s="137"/>
      <c r="AE74" s="138"/>
      <c r="AF74" s="237">
        <f t="shared" si="0"/>
        <v>0</v>
      </c>
      <c r="AG74" s="66" t="str">
        <f>IF(B74="","",IF(AQ74="総合事業","数式を削除して手入力",IFERROR(INDEX(【参考】数式用!$AD$3:$AF$452,MATCH(Q74&amp;V74,【参考】数式用!$AC$3:$AC$452,0),MATCH(VLOOKUP(Z74,【参考】数式用!$AG$2:$AH$56,2,FALSE),【参考】数式用!$AD$2:$AF$2,0)),10)))</f>
        <v/>
      </c>
      <c r="AP74" s="502" t="str">
        <f>IF($L$16="", "", VLOOKUP(Z74,【参考】数式用!$A$2:$O$57,14,FALSE))</f>
        <v/>
      </c>
      <c r="AQ74" s="282" t="e">
        <f>VLOOKUP(Z74,【参考】数式用!$A$2:$O$57,15,FALSE)</f>
        <v>#N/A</v>
      </c>
    </row>
    <row r="75" spans="1:43" ht="49.9" customHeight="1">
      <c r="A75" s="1030">
        <f t="shared" si="1"/>
        <v>36</v>
      </c>
      <c r="B75" s="662"/>
      <c r="C75" s="663"/>
      <c r="D75" s="663"/>
      <c r="E75" s="663"/>
      <c r="F75" s="663"/>
      <c r="G75" s="663"/>
      <c r="H75" s="663"/>
      <c r="I75" s="663"/>
      <c r="J75" s="663"/>
      <c r="K75" s="663"/>
      <c r="L75" s="661"/>
      <c r="M75" s="661"/>
      <c r="N75" s="661"/>
      <c r="O75" s="661"/>
      <c r="P75" s="661"/>
      <c r="Q75" s="650"/>
      <c r="R75" s="650"/>
      <c r="S75" s="650"/>
      <c r="T75" s="650"/>
      <c r="U75" s="650"/>
      <c r="V75" s="476"/>
      <c r="W75" s="649"/>
      <c r="X75" s="649"/>
      <c r="Y75" s="649"/>
      <c r="Z75" s="649"/>
      <c r="AA75" s="649"/>
      <c r="AB75" s="649"/>
      <c r="AC75" s="236" t="str">
        <f>IFERROR(VLOOKUP(Z75,【参考】数式用!$A$4:$B$57,2,FALSE),"")</f>
        <v/>
      </c>
      <c r="AD75" s="137"/>
      <c r="AE75" s="138"/>
      <c r="AF75" s="237">
        <f t="shared" si="0"/>
        <v>0</v>
      </c>
      <c r="AG75" s="66" t="str">
        <f>IF(B75="","",IF(AQ75="総合事業","数式を削除して手入力",IFERROR(INDEX(【参考】数式用!$AD$3:$AF$452,MATCH(Q75&amp;V75,【参考】数式用!$AC$3:$AC$452,0),MATCH(VLOOKUP(Z75,【参考】数式用!$AG$2:$AH$56,2,FALSE),【参考】数式用!$AD$2:$AF$2,0)),10)))</f>
        <v/>
      </c>
      <c r="AP75" s="502" t="str">
        <f>IF($L$16="", "", VLOOKUP(Z75,【参考】数式用!$A$2:$O$57,14,FALSE))</f>
        <v/>
      </c>
      <c r="AQ75" s="282" t="e">
        <f>VLOOKUP(Z75,【参考】数式用!$A$2:$O$57,15,FALSE)</f>
        <v>#N/A</v>
      </c>
    </row>
    <row r="76" spans="1:43" ht="49.9" customHeight="1">
      <c r="A76" s="1030">
        <f t="shared" si="1"/>
        <v>37</v>
      </c>
      <c r="B76" s="662"/>
      <c r="C76" s="663"/>
      <c r="D76" s="663"/>
      <c r="E76" s="663"/>
      <c r="F76" s="663"/>
      <c r="G76" s="663"/>
      <c r="H76" s="663"/>
      <c r="I76" s="663"/>
      <c r="J76" s="663"/>
      <c r="K76" s="663"/>
      <c r="L76" s="661"/>
      <c r="M76" s="661"/>
      <c r="N76" s="661"/>
      <c r="O76" s="661"/>
      <c r="P76" s="661"/>
      <c r="Q76" s="650"/>
      <c r="R76" s="650"/>
      <c r="S76" s="650"/>
      <c r="T76" s="650"/>
      <c r="U76" s="650"/>
      <c r="V76" s="476"/>
      <c r="W76" s="649"/>
      <c r="X76" s="649"/>
      <c r="Y76" s="649"/>
      <c r="Z76" s="649"/>
      <c r="AA76" s="649"/>
      <c r="AB76" s="649"/>
      <c r="AC76" s="236" t="str">
        <f>IFERROR(VLOOKUP(Z76,【参考】数式用!$A$4:$B$57,2,FALSE),"")</f>
        <v/>
      </c>
      <c r="AD76" s="137"/>
      <c r="AE76" s="138"/>
      <c r="AF76" s="237">
        <f t="shared" si="0"/>
        <v>0</v>
      </c>
      <c r="AG76" s="66" t="str">
        <f>IF(B76="","",IF(AQ76="総合事業","数式を削除して手入力",IFERROR(INDEX(【参考】数式用!$AD$3:$AF$452,MATCH(Q76&amp;V76,【参考】数式用!$AC$3:$AC$452,0),MATCH(VLOOKUP(Z76,【参考】数式用!$AG$2:$AH$56,2,FALSE),【参考】数式用!$AD$2:$AF$2,0)),10)))</f>
        <v/>
      </c>
      <c r="AP76" s="502" t="str">
        <f>IF($L$16="", "", VLOOKUP(Z76,【参考】数式用!$A$2:$O$57,14,FALSE))</f>
        <v/>
      </c>
      <c r="AQ76" s="282" t="e">
        <f>VLOOKUP(Z76,【参考】数式用!$A$2:$O$57,15,FALSE)</f>
        <v>#N/A</v>
      </c>
    </row>
    <row r="77" spans="1:43" ht="49.9" customHeight="1">
      <c r="A77" s="1030">
        <f t="shared" si="1"/>
        <v>38</v>
      </c>
      <c r="B77" s="662"/>
      <c r="C77" s="663"/>
      <c r="D77" s="663"/>
      <c r="E77" s="663"/>
      <c r="F77" s="663"/>
      <c r="G77" s="663"/>
      <c r="H77" s="663"/>
      <c r="I77" s="663"/>
      <c r="J77" s="663"/>
      <c r="K77" s="663"/>
      <c r="L77" s="661"/>
      <c r="M77" s="661"/>
      <c r="N77" s="661"/>
      <c r="O77" s="661"/>
      <c r="P77" s="661"/>
      <c r="Q77" s="650"/>
      <c r="R77" s="650"/>
      <c r="S77" s="650"/>
      <c r="T77" s="650"/>
      <c r="U77" s="650"/>
      <c r="V77" s="476"/>
      <c r="W77" s="649"/>
      <c r="X77" s="649"/>
      <c r="Y77" s="649"/>
      <c r="Z77" s="649"/>
      <c r="AA77" s="649"/>
      <c r="AB77" s="649"/>
      <c r="AC77" s="236" t="str">
        <f>IFERROR(VLOOKUP(Z77,【参考】数式用!$A$4:$B$57,2,FALSE),"")</f>
        <v/>
      </c>
      <c r="AD77" s="137"/>
      <c r="AE77" s="138"/>
      <c r="AF77" s="237">
        <f t="shared" si="0"/>
        <v>0</v>
      </c>
      <c r="AG77" s="66" t="str">
        <f>IF(B77="","",IF(AQ77="総合事業","数式を削除して手入力",IFERROR(INDEX(【参考】数式用!$AD$3:$AF$452,MATCH(Q77&amp;V77,【参考】数式用!$AC$3:$AC$452,0),MATCH(VLOOKUP(Z77,【参考】数式用!$AG$2:$AH$56,2,FALSE),【参考】数式用!$AD$2:$AF$2,0)),10)))</f>
        <v/>
      </c>
      <c r="AP77" s="502" t="str">
        <f>IF($L$16="", "", VLOOKUP(Z77,【参考】数式用!$A$2:$O$57,14,FALSE))</f>
        <v/>
      </c>
      <c r="AQ77" s="282" t="e">
        <f>VLOOKUP(Z77,【参考】数式用!$A$2:$O$57,15,FALSE)</f>
        <v>#N/A</v>
      </c>
    </row>
    <row r="78" spans="1:43" ht="49.9" customHeight="1">
      <c r="A78" s="1030">
        <f t="shared" si="1"/>
        <v>39</v>
      </c>
      <c r="B78" s="662"/>
      <c r="C78" s="663"/>
      <c r="D78" s="663"/>
      <c r="E78" s="663"/>
      <c r="F78" s="663"/>
      <c r="G78" s="663"/>
      <c r="H78" s="663"/>
      <c r="I78" s="663"/>
      <c r="J78" s="663"/>
      <c r="K78" s="663"/>
      <c r="L78" s="661"/>
      <c r="M78" s="661"/>
      <c r="N78" s="661"/>
      <c r="O78" s="661"/>
      <c r="P78" s="661"/>
      <c r="Q78" s="650"/>
      <c r="R78" s="650"/>
      <c r="S78" s="650"/>
      <c r="T78" s="650"/>
      <c r="U78" s="650"/>
      <c r="V78" s="476"/>
      <c r="W78" s="649"/>
      <c r="X78" s="649"/>
      <c r="Y78" s="649"/>
      <c r="Z78" s="649"/>
      <c r="AA78" s="649"/>
      <c r="AB78" s="649"/>
      <c r="AC78" s="236" t="str">
        <f>IFERROR(VLOOKUP(Z78,【参考】数式用!$A$4:$B$57,2,FALSE),"")</f>
        <v/>
      </c>
      <c r="AD78" s="137"/>
      <c r="AE78" s="138"/>
      <c r="AF78" s="237">
        <f t="shared" si="0"/>
        <v>0</v>
      </c>
      <c r="AG78" s="66" t="str">
        <f>IF(B78="","",IF(AQ78="総合事業","数式を削除して手入力",IFERROR(INDEX(【参考】数式用!$AD$3:$AF$452,MATCH(Q78&amp;V78,【参考】数式用!$AC$3:$AC$452,0),MATCH(VLOOKUP(Z78,【参考】数式用!$AG$2:$AH$56,2,FALSE),【参考】数式用!$AD$2:$AF$2,0)),10)))</f>
        <v/>
      </c>
      <c r="AP78" s="502" t="str">
        <f>IF($L$16="", "", VLOOKUP(Z78,【参考】数式用!$A$2:$O$57,14,FALSE))</f>
        <v/>
      </c>
      <c r="AQ78" s="282" t="e">
        <f>VLOOKUP(Z78,【参考】数式用!$A$2:$O$57,15,FALSE)</f>
        <v>#N/A</v>
      </c>
    </row>
    <row r="79" spans="1:43" ht="49.9" customHeight="1">
      <c r="A79" s="1030">
        <f t="shared" si="1"/>
        <v>40</v>
      </c>
      <c r="B79" s="662"/>
      <c r="C79" s="663"/>
      <c r="D79" s="663"/>
      <c r="E79" s="663"/>
      <c r="F79" s="663"/>
      <c r="G79" s="663"/>
      <c r="H79" s="663"/>
      <c r="I79" s="663"/>
      <c r="J79" s="663"/>
      <c r="K79" s="663"/>
      <c r="L79" s="661"/>
      <c r="M79" s="661"/>
      <c r="N79" s="661"/>
      <c r="O79" s="661"/>
      <c r="P79" s="661"/>
      <c r="Q79" s="650"/>
      <c r="R79" s="650"/>
      <c r="S79" s="650"/>
      <c r="T79" s="650"/>
      <c r="U79" s="650"/>
      <c r="V79" s="476"/>
      <c r="W79" s="649"/>
      <c r="X79" s="649"/>
      <c r="Y79" s="649"/>
      <c r="Z79" s="649"/>
      <c r="AA79" s="649"/>
      <c r="AB79" s="649"/>
      <c r="AC79" s="236" t="str">
        <f>IFERROR(VLOOKUP(Z79,【参考】数式用!$A$4:$B$57,2,FALSE),"")</f>
        <v/>
      </c>
      <c r="AD79" s="137"/>
      <c r="AE79" s="138"/>
      <c r="AF79" s="237">
        <f t="shared" si="0"/>
        <v>0</v>
      </c>
      <c r="AG79" s="66" t="str">
        <f>IF(B79="","",IF(AQ79="総合事業","数式を削除して手入力",IFERROR(INDEX(【参考】数式用!$AD$3:$AF$452,MATCH(Q79&amp;V79,【参考】数式用!$AC$3:$AC$452,0),MATCH(VLOOKUP(Z79,【参考】数式用!$AG$2:$AH$56,2,FALSE),【参考】数式用!$AD$2:$AF$2,0)),10)))</f>
        <v/>
      </c>
      <c r="AP79" s="502" t="str">
        <f>IF($L$16="", "", VLOOKUP(Z79,【参考】数式用!$A$2:$O$57,14,FALSE))</f>
        <v/>
      </c>
      <c r="AQ79" s="282" t="e">
        <f>VLOOKUP(Z79,【参考】数式用!$A$2:$O$57,15,FALSE)</f>
        <v>#N/A</v>
      </c>
    </row>
    <row r="80" spans="1:43" ht="49.9" customHeight="1">
      <c r="A80" s="1030">
        <f t="shared" si="1"/>
        <v>41</v>
      </c>
      <c r="B80" s="662"/>
      <c r="C80" s="663"/>
      <c r="D80" s="663"/>
      <c r="E80" s="663"/>
      <c r="F80" s="663"/>
      <c r="G80" s="663"/>
      <c r="H80" s="663"/>
      <c r="I80" s="663"/>
      <c r="J80" s="663"/>
      <c r="K80" s="663"/>
      <c r="L80" s="661"/>
      <c r="M80" s="661"/>
      <c r="N80" s="661"/>
      <c r="O80" s="661"/>
      <c r="P80" s="661"/>
      <c r="Q80" s="650"/>
      <c r="R80" s="650"/>
      <c r="S80" s="650"/>
      <c r="T80" s="650"/>
      <c r="U80" s="650"/>
      <c r="V80" s="476"/>
      <c r="W80" s="649"/>
      <c r="X80" s="649"/>
      <c r="Y80" s="649"/>
      <c r="Z80" s="649"/>
      <c r="AA80" s="649"/>
      <c r="AB80" s="649"/>
      <c r="AC80" s="236" t="str">
        <f>IFERROR(VLOOKUP(Z80,【参考】数式用!$A$4:$B$57,2,FALSE),"")</f>
        <v/>
      </c>
      <c r="AD80" s="137"/>
      <c r="AE80" s="138"/>
      <c r="AF80" s="237">
        <f t="shared" si="0"/>
        <v>0</v>
      </c>
      <c r="AG80" s="66" t="str">
        <f>IF(B80="","",IF(AQ80="総合事業","数式を削除して手入力",IFERROR(INDEX(【参考】数式用!$AD$3:$AF$452,MATCH(Q80&amp;V80,【参考】数式用!$AC$3:$AC$452,0),MATCH(VLOOKUP(Z80,【参考】数式用!$AG$2:$AH$56,2,FALSE),【参考】数式用!$AD$2:$AF$2,0)),10)))</f>
        <v/>
      </c>
      <c r="AP80" s="502" t="str">
        <f>IF($L$16="", "", VLOOKUP(Z80,【参考】数式用!$A$2:$O$57,14,FALSE))</f>
        <v/>
      </c>
      <c r="AQ80" s="282" t="e">
        <f>VLOOKUP(Z80,【参考】数式用!$A$2:$O$57,15,FALSE)</f>
        <v>#N/A</v>
      </c>
    </row>
    <row r="81" spans="1:43" ht="49.9" customHeight="1">
      <c r="A81" s="1030">
        <f t="shared" si="1"/>
        <v>42</v>
      </c>
      <c r="B81" s="662"/>
      <c r="C81" s="663"/>
      <c r="D81" s="663"/>
      <c r="E81" s="663"/>
      <c r="F81" s="663"/>
      <c r="G81" s="663"/>
      <c r="H81" s="663"/>
      <c r="I81" s="663"/>
      <c r="J81" s="663"/>
      <c r="K81" s="663"/>
      <c r="L81" s="661"/>
      <c r="M81" s="661"/>
      <c r="N81" s="661"/>
      <c r="O81" s="661"/>
      <c r="P81" s="661"/>
      <c r="Q81" s="650"/>
      <c r="R81" s="650"/>
      <c r="S81" s="650"/>
      <c r="T81" s="650"/>
      <c r="U81" s="650"/>
      <c r="V81" s="476"/>
      <c r="W81" s="649"/>
      <c r="X81" s="649"/>
      <c r="Y81" s="649"/>
      <c r="Z81" s="649"/>
      <c r="AA81" s="649"/>
      <c r="AB81" s="649"/>
      <c r="AC81" s="236" t="str">
        <f>IFERROR(VLOOKUP(Z81,【参考】数式用!$A$4:$B$57,2,FALSE),"")</f>
        <v/>
      </c>
      <c r="AD81" s="137"/>
      <c r="AE81" s="138"/>
      <c r="AF81" s="237">
        <f t="shared" si="0"/>
        <v>0</v>
      </c>
      <c r="AG81" s="66" t="str">
        <f>IF(B81="","",IF(AQ81="総合事業","数式を削除して手入力",IFERROR(INDEX(【参考】数式用!$AD$3:$AF$452,MATCH(Q81&amp;V81,【参考】数式用!$AC$3:$AC$452,0),MATCH(VLOOKUP(Z81,【参考】数式用!$AG$2:$AH$56,2,FALSE),【参考】数式用!$AD$2:$AF$2,0)),10)))</f>
        <v/>
      </c>
      <c r="AP81" s="502" t="str">
        <f>IF($L$16="", "", VLOOKUP(Z81,【参考】数式用!$A$2:$O$57,14,FALSE))</f>
        <v/>
      </c>
      <c r="AQ81" s="282" t="e">
        <f>VLOOKUP(Z81,【参考】数式用!$A$2:$O$57,15,FALSE)</f>
        <v>#N/A</v>
      </c>
    </row>
    <row r="82" spans="1:43" ht="49.9" customHeight="1">
      <c r="A82" s="1030">
        <f t="shared" si="1"/>
        <v>43</v>
      </c>
      <c r="B82" s="662"/>
      <c r="C82" s="663"/>
      <c r="D82" s="663"/>
      <c r="E82" s="663"/>
      <c r="F82" s="663"/>
      <c r="G82" s="663"/>
      <c r="H82" s="663"/>
      <c r="I82" s="663"/>
      <c r="J82" s="663"/>
      <c r="K82" s="663"/>
      <c r="L82" s="661"/>
      <c r="M82" s="661"/>
      <c r="N82" s="661"/>
      <c r="O82" s="661"/>
      <c r="P82" s="661"/>
      <c r="Q82" s="650"/>
      <c r="R82" s="650"/>
      <c r="S82" s="650"/>
      <c r="T82" s="650"/>
      <c r="U82" s="650"/>
      <c r="V82" s="476"/>
      <c r="W82" s="649"/>
      <c r="X82" s="649"/>
      <c r="Y82" s="649"/>
      <c r="Z82" s="649"/>
      <c r="AA82" s="649"/>
      <c r="AB82" s="649"/>
      <c r="AC82" s="236" t="str">
        <f>IFERROR(VLOOKUP(Z82,【参考】数式用!$A$4:$B$57,2,FALSE),"")</f>
        <v/>
      </c>
      <c r="AD82" s="137"/>
      <c r="AE82" s="138"/>
      <c r="AF82" s="237">
        <f t="shared" si="0"/>
        <v>0</v>
      </c>
      <c r="AG82" s="66" t="str">
        <f>IF(B82="","",IF(AQ82="総合事業","数式を削除して手入力",IFERROR(INDEX(【参考】数式用!$AD$3:$AF$452,MATCH(Q82&amp;V82,【参考】数式用!$AC$3:$AC$452,0),MATCH(VLOOKUP(Z82,【参考】数式用!$AG$2:$AH$56,2,FALSE),【参考】数式用!$AD$2:$AF$2,0)),10)))</f>
        <v/>
      </c>
      <c r="AP82" s="502" t="str">
        <f>IF($L$16="", "", VLOOKUP(Z82,【参考】数式用!$A$2:$O$57,14,FALSE))</f>
        <v/>
      </c>
      <c r="AQ82" s="282" t="e">
        <f>VLOOKUP(Z82,【参考】数式用!$A$2:$O$57,15,FALSE)</f>
        <v>#N/A</v>
      </c>
    </row>
    <row r="83" spans="1:43" ht="49.9" customHeight="1">
      <c r="A83" s="1030">
        <f t="shared" si="1"/>
        <v>44</v>
      </c>
      <c r="B83" s="662"/>
      <c r="C83" s="663"/>
      <c r="D83" s="663"/>
      <c r="E83" s="663"/>
      <c r="F83" s="663"/>
      <c r="G83" s="663"/>
      <c r="H83" s="663"/>
      <c r="I83" s="663"/>
      <c r="J83" s="663"/>
      <c r="K83" s="663"/>
      <c r="L83" s="661"/>
      <c r="M83" s="661"/>
      <c r="N83" s="661"/>
      <c r="O83" s="661"/>
      <c r="P83" s="661"/>
      <c r="Q83" s="650"/>
      <c r="R83" s="650"/>
      <c r="S83" s="650"/>
      <c r="T83" s="650"/>
      <c r="U83" s="650"/>
      <c r="V83" s="476"/>
      <c r="W83" s="649"/>
      <c r="X83" s="649"/>
      <c r="Y83" s="649"/>
      <c r="Z83" s="649"/>
      <c r="AA83" s="649"/>
      <c r="AB83" s="649"/>
      <c r="AC83" s="236" t="str">
        <f>IFERROR(VLOOKUP(Z83,【参考】数式用!$A$4:$B$57,2,FALSE),"")</f>
        <v/>
      </c>
      <c r="AD83" s="137"/>
      <c r="AE83" s="138"/>
      <c r="AF83" s="237">
        <f t="shared" si="0"/>
        <v>0</v>
      </c>
      <c r="AG83" s="66" t="str">
        <f>IF(B83="","",IF(AQ83="総合事業","数式を削除して手入力",IFERROR(INDEX(【参考】数式用!$AD$3:$AF$452,MATCH(Q83&amp;V83,【参考】数式用!$AC$3:$AC$452,0),MATCH(VLOOKUP(Z83,【参考】数式用!$AG$2:$AH$56,2,FALSE),【参考】数式用!$AD$2:$AF$2,0)),10)))</f>
        <v/>
      </c>
      <c r="AP83" s="502" t="str">
        <f>IF($L$16="", "", VLOOKUP(Z83,【参考】数式用!$A$2:$O$57,14,FALSE))</f>
        <v/>
      </c>
      <c r="AQ83" s="282" t="e">
        <f>VLOOKUP(Z83,【参考】数式用!$A$2:$O$57,15,FALSE)</f>
        <v>#N/A</v>
      </c>
    </row>
    <row r="84" spans="1:43" ht="49.9" customHeight="1">
      <c r="A84" s="1030">
        <f t="shared" si="1"/>
        <v>45</v>
      </c>
      <c r="B84" s="662"/>
      <c r="C84" s="663"/>
      <c r="D84" s="663"/>
      <c r="E84" s="663"/>
      <c r="F84" s="663"/>
      <c r="G84" s="663"/>
      <c r="H84" s="663"/>
      <c r="I84" s="663"/>
      <c r="J84" s="663"/>
      <c r="K84" s="663"/>
      <c r="L84" s="661"/>
      <c r="M84" s="661"/>
      <c r="N84" s="661"/>
      <c r="O84" s="661"/>
      <c r="P84" s="661"/>
      <c r="Q84" s="650"/>
      <c r="R84" s="650"/>
      <c r="S84" s="650"/>
      <c r="T84" s="650"/>
      <c r="U84" s="650"/>
      <c r="V84" s="476"/>
      <c r="W84" s="649"/>
      <c r="X84" s="649"/>
      <c r="Y84" s="649"/>
      <c r="Z84" s="649"/>
      <c r="AA84" s="649"/>
      <c r="AB84" s="649"/>
      <c r="AC84" s="236" t="str">
        <f>IFERROR(VLOOKUP(Z84,【参考】数式用!$A$4:$B$57,2,FALSE),"")</f>
        <v/>
      </c>
      <c r="AD84" s="137"/>
      <c r="AE84" s="138"/>
      <c r="AF84" s="237">
        <f t="shared" si="0"/>
        <v>0</v>
      </c>
      <c r="AG84" s="66" t="str">
        <f>IF(B84="","",IF(AQ84="総合事業","数式を削除して手入力",IFERROR(INDEX(【参考】数式用!$AD$3:$AF$452,MATCH(Q84&amp;V84,【参考】数式用!$AC$3:$AC$452,0),MATCH(VLOOKUP(Z84,【参考】数式用!$AG$2:$AH$56,2,FALSE),【参考】数式用!$AD$2:$AF$2,0)),10)))</f>
        <v/>
      </c>
      <c r="AP84" s="502" t="str">
        <f>IF($L$16="", "", VLOOKUP(Z84,【参考】数式用!$A$2:$O$57,14,FALSE))</f>
        <v/>
      </c>
      <c r="AQ84" s="282" t="e">
        <f>VLOOKUP(Z84,【参考】数式用!$A$2:$O$57,15,FALSE)</f>
        <v>#N/A</v>
      </c>
    </row>
    <row r="85" spans="1:43" ht="49.9" customHeight="1">
      <c r="A85" s="1030">
        <f t="shared" si="1"/>
        <v>46</v>
      </c>
      <c r="B85" s="662"/>
      <c r="C85" s="663"/>
      <c r="D85" s="663"/>
      <c r="E85" s="663"/>
      <c r="F85" s="663"/>
      <c r="G85" s="663"/>
      <c r="H85" s="663"/>
      <c r="I85" s="663"/>
      <c r="J85" s="663"/>
      <c r="K85" s="663"/>
      <c r="L85" s="661"/>
      <c r="M85" s="661"/>
      <c r="N85" s="661"/>
      <c r="O85" s="661"/>
      <c r="P85" s="661"/>
      <c r="Q85" s="650"/>
      <c r="R85" s="650"/>
      <c r="S85" s="650"/>
      <c r="T85" s="650"/>
      <c r="U85" s="650"/>
      <c r="V85" s="476"/>
      <c r="W85" s="649"/>
      <c r="X85" s="649"/>
      <c r="Y85" s="649"/>
      <c r="Z85" s="649"/>
      <c r="AA85" s="649"/>
      <c r="AB85" s="649"/>
      <c r="AC85" s="236" t="str">
        <f>IFERROR(VLOOKUP(Z85,【参考】数式用!$A$4:$B$57,2,FALSE),"")</f>
        <v/>
      </c>
      <c r="AD85" s="137"/>
      <c r="AE85" s="138"/>
      <c r="AF85" s="237">
        <f t="shared" si="0"/>
        <v>0</v>
      </c>
      <c r="AG85" s="66" t="str">
        <f>IF(B85="","",IF(AQ85="総合事業","数式を削除して手入力",IFERROR(INDEX(【参考】数式用!$AD$3:$AF$452,MATCH(Q85&amp;V85,【参考】数式用!$AC$3:$AC$452,0),MATCH(VLOOKUP(Z85,【参考】数式用!$AG$2:$AH$56,2,FALSE),【参考】数式用!$AD$2:$AF$2,0)),10)))</f>
        <v/>
      </c>
      <c r="AP85" s="502" t="str">
        <f>IF($L$16="", "", VLOOKUP(Z85,【参考】数式用!$A$2:$O$57,14,FALSE))</f>
        <v/>
      </c>
      <c r="AQ85" s="282" t="e">
        <f>VLOOKUP(Z85,【参考】数式用!$A$2:$O$57,15,FALSE)</f>
        <v>#N/A</v>
      </c>
    </row>
    <row r="86" spans="1:43" ht="49.9" customHeight="1">
      <c r="A86" s="1030">
        <f t="shared" si="1"/>
        <v>47</v>
      </c>
      <c r="B86" s="662"/>
      <c r="C86" s="663"/>
      <c r="D86" s="663"/>
      <c r="E86" s="663"/>
      <c r="F86" s="663"/>
      <c r="G86" s="663"/>
      <c r="H86" s="663"/>
      <c r="I86" s="663"/>
      <c r="J86" s="663"/>
      <c r="K86" s="663"/>
      <c r="L86" s="661"/>
      <c r="M86" s="661"/>
      <c r="N86" s="661"/>
      <c r="O86" s="661"/>
      <c r="P86" s="661"/>
      <c r="Q86" s="650"/>
      <c r="R86" s="650"/>
      <c r="S86" s="650"/>
      <c r="T86" s="650"/>
      <c r="U86" s="650"/>
      <c r="V86" s="476"/>
      <c r="W86" s="649"/>
      <c r="X86" s="649"/>
      <c r="Y86" s="649"/>
      <c r="Z86" s="649"/>
      <c r="AA86" s="649"/>
      <c r="AB86" s="649"/>
      <c r="AC86" s="236" t="str">
        <f>IFERROR(VLOOKUP(Z86,【参考】数式用!$A$4:$B$57,2,FALSE),"")</f>
        <v/>
      </c>
      <c r="AD86" s="137"/>
      <c r="AE86" s="138"/>
      <c r="AF86" s="237">
        <f t="shared" si="0"/>
        <v>0</v>
      </c>
      <c r="AG86" s="66" t="str">
        <f>IF(B86="","",IF(AQ86="総合事業","数式を削除して手入力",IFERROR(INDEX(【参考】数式用!$AD$3:$AF$452,MATCH(Q86&amp;V86,【参考】数式用!$AC$3:$AC$452,0),MATCH(VLOOKUP(Z86,【参考】数式用!$AG$2:$AH$56,2,FALSE),【参考】数式用!$AD$2:$AF$2,0)),10)))</f>
        <v/>
      </c>
      <c r="AP86" s="502" t="str">
        <f>IF($L$16="", "", VLOOKUP(Z86,【参考】数式用!$A$2:$O$57,14,FALSE))</f>
        <v/>
      </c>
      <c r="AQ86" s="282" t="e">
        <f>VLOOKUP(Z86,【参考】数式用!$A$2:$O$57,15,FALSE)</f>
        <v>#N/A</v>
      </c>
    </row>
    <row r="87" spans="1:43" ht="49.9" customHeight="1">
      <c r="A87" s="1030">
        <f t="shared" si="1"/>
        <v>48</v>
      </c>
      <c r="B87" s="662"/>
      <c r="C87" s="663"/>
      <c r="D87" s="663"/>
      <c r="E87" s="663"/>
      <c r="F87" s="663"/>
      <c r="G87" s="663"/>
      <c r="H87" s="663"/>
      <c r="I87" s="663"/>
      <c r="J87" s="663"/>
      <c r="K87" s="663"/>
      <c r="L87" s="661"/>
      <c r="M87" s="661"/>
      <c r="N87" s="661"/>
      <c r="O87" s="661"/>
      <c r="P87" s="661"/>
      <c r="Q87" s="650"/>
      <c r="R87" s="650"/>
      <c r="S87" s="650"/>
      <c r="T87" s="650"/>
      <c r="U87" s="650"/>
      <c r="V87" s="476"/>
      <c r="W87" s="649"/>
      <c r="X87" s="649"/>
      <c r="Y87" s="649"/>
      <c r="Z87" s="649"/>
      <c r="AA87" s="649"/>
      <c r="AB87" s="649"/>
      <c r="AC87" s="236" t="str">
        <f>IFERROR(VLOOKUP(Z87,【参考】数式用!$A$4:$B$57,2,FALSE),"")</f>
        <v/>
      </c>
      <c r="AD87" s="137"/>
      <c r="AE87" s="138"/>
      <c r="AF87" s="237">
        <f t="shared" si="0"/>
        <v>0</v>
      </c>
      <c r="AG87" s="66" t="str">
        <f>IF(B87="","",IF(AQ87="総合事業","数式を削除して手入力",IFERROR(INDEX(【参考】数式用!$AD$3:$AF$452,MATCH(Q87&amp;V87,【参考】数式用!$AC$3:$AC$452,0),MATCH(VLOOKUP(Z87,【参考】数式用!$AG$2:$AH$56,2,FALSE),【参考】数式用!$AD$2:$AF$2,0)),10)))</f>
        <v/>
      </c>
      <c r="AP87" s="502" t="str">
        <f>IF($L$16="", "", VLOOKUP(Z87,【参考】数式用!$A$2:$O$57,14,FALSE))</f>
        <v/>
      </c>
      <c r="AQ87" s="282" t="e">
        <f>VLOOKUP(Z87,【参考】数式用!$A$2:$O$57,15,FALSE)</f>
        <v>#N/A</v>
      </c>
    </row>
    <row r="88" spans="1:43" ht="49.9" customHeight="1">
      <c r="A88" s="1030">
        <f t="shared" si="1"/>
        <v>49</v>
      </c>
      <c r="B88" s="662"/>
      <c r="C88" s="663"/>
      <c r="D88" s="663"/>
      <c r="E88" s="663"/>
      <c r="F88" s="663"/>
      <c r="G88" s="663"/>
      <c r="H88" s="663"/>
      <c r="I88" s="663"/>
      <c r="J88" s="663"/>
      <c r="K88" s="663"/>
      <c r="L88" s="661"/>
      <c r="M88" s="661"/>
      <c r="N88" s="661"/>
      <c r="O88" s="661"/>
      <c r="P88" s="661"/>
      <c r="Q88" s="650"/>
      <c r="R88" s="650"/>
      <c r="S88" s="650"/>
      <c r="T88" s="650"/>
      <c r="U88" s="650"/>
      <c r="V88" s="476"/>
      <c r="W88" s="649"/>
      <c r="X88" s="649"/>
      <c r="Y88" s="649"/>
      <c r="Z88" s="649"/>
      <c r="AA88" s="649"/>
      <c r="AB88" s="649"/>
      <c r="AC88" s="236" t="str">
        <f>IFERROR(VLOOKUP(Z88,【参考】数式用!$A$4:$B$57,2,FALSE),"")</f>
        <v/>
      </c>
      <c r="AD88" s="137"/>
      <c r="AE88" s="138"/>
      <c r="AF88" s="237">
        <f t="shared" si="0"/>
        <v>0</v>
      </c>
      <c r="AG88" s="66" t="str">
        <f>IF(B88="","",IF(AQ88="総合事業","数式を削除して手入力",IFERROR(INDEX(【参考】数式用!$AD$3:$AF$452,MATCH(Q88&amp;V88,【参考】数式用!$AC$3:$AC$452,0),MATCH(VLOOKUP(Z88,【参考】数式用!$AG$2:$AH$56,2,FALSE),【参考】数式用!$AD$2:$AF$2,0)),10)))</f>
        <v/>
      </c>
      <c r="AP88" s="502" t="str">
        <f>IF($L$16="", "", VLOOKUP(Z88,【参考】数式用!$A$2:$O$57,14,FALSE))</f>
        <v/>
      </c>
      <c r="AQ88" s="282" t="e">
        <f>VLOOKUP(Z88,【参考】数式用!$A$2:$O$57,15,FALSE)</f>
        <v>#N/A</v>
      </c>
    </row>
    <row r="89" spans="1:43" ht="49.9" customHeight="1">
      <c r="A89" s="1030">
        <f t="shared" si="1"/>
        <v>50</v>
      </c>
      <c r="B89" s="662"/>
      <c r="C89" s="663"/>
      <c r="D89" s="663"/>
      <c r="E89" s="663"/>
      <c r="F89" s="663"/>
      <c r="G89" s="663"/>
      <c r="H89" s="663"/>
      <c r="I89" s="663"/>
      <c r="J89" s="663"/>
      <c r="K89" s="663"/>
      <c r="L89" s="661"/>
      <c r="M89" s="661"/>
      <c r="N89" s="661"/>
      <c r="O89" s="661"/>
      <c r="P89" s="661"/>
      <c r="Q89" s="650"/>
      <c r="R89" s="650"/>
      <c r="S89" s="650"/>
      <c r="T89" s="650"/>
      <c r="U89" s="650"/>
      <c r="V89" s="476"/>
      <c r="W89" s="649"/>
      <c r="X89" s="649"/>
      <c r="Y89" s="649"/>
      <c r="Z89" s="649"/>
      <c r="AA89" s="649"/>
      <c r="AB89" s="649"/>
      <c r="AC89" s="236" t="str">
        <f>IFERROR(VLOOKUP(Z89,【参考】数式用!$A$4:$B$57,2,FALSE),"")</f>
        <v/>
      </c>
      <c r="AD89" s="137"/>
      <c r="AE89" s="138"/>
      <c r="AF89" s="237">
        <f t="shared" si="0"/>
        <v>0</v>
      </c>
      <c r="AG89" s="66" t="str">
        <f>IF(B89="","",IF(AQ89="総合事業","数式を削除して手入力",IFERROR(INDEX(【参考】数式用!$AD$3:$AF$452,MATCH(Q89&amp;V89,【参考】数式用!$AC$3:$AC$452,0),MATCH(VLOOKUP(Z89,【参考】数式用!$AG$2:$AH$56,2,FALSE),【参考】数式用!$AD$2:$AF$2,0)),10)))</f>
        <v/>
      </c>
      <c r="AP89" s="502" t="str">
        <f>IF($L$16="", "", VLOOKUP(Z89,【参考】数式用!$A$2:$O$57,14,FALSE))</f>
        <v/>
      </c>
      <c r="AQ89" s="282" t="e">
        <f>VLOOKUP(Z89,【参考】数式用!$A$2:$O$57,15,FALSE)</f>
        <v>#N/A</v>
      </c>
    </row>
    <row r="90" spans="1:43" ht="49.9" customHeight="1">
      <c r="A90" s="1030">
        <f t="shared" si="1"/>
        <v>51</v>
      </c>
      <c r="B90" s="662"/>
      <c r="C90" s="663"/>
      <c r="D90" s="663"/>
      <c r="E90" s="663"/>
      <c r="F90" s="663"/>
      <c r="G90" s="663"/>
      <c r="H90" s="663"/>
      <c r="I90" s="663"/>
      <c r="J90" s="663"/>
      <c r="K90" s="663"/>
      <c r="L90" s="661"/>
      <c r="M90" s="661"/>
      <c r="N90" s="661"/>
      <c r="O90" s="661"/>
      <c r="P90" s="661"/>
      <c r="Q90" s="650"/>
      <c r="R90" s="650"/>
      <c r="S90" s="650"/>
      <c r="T90" s="650"/>
      <c r="U90" s="650"/>
      <c r="V90" s="476"/>
      <c r="W90" s="649"/>
      <c r="X90" s="649"/>
      <c r="Y90" s="649"/>
      <c r="Z90" s="649"/>
      <c r="AA90" s="649"/>
      <c r="AB90" s="649"/>
      <c r="AC90" s="236" t="str">
        <f>IFERROR(VLOOKUP(Z90,【参考】数式用!$A$4:$B$57,2,FALSE),"")</f>
        <v/>
      </c>
      <c r="AD90" s="137"/>
      <c r="AE90" s="138"/>
      <c r="AF90" s="237">
        <f t="shared" si="0"/>
        <v>0</v>
      </c>
      <c r="AG90" s="66" t="str">
        <f>IF(B90="","",IF(AQ90="総合事業","数式を削除して手入力",IFERROR(INDEX(【参考】数式用!$AD$3:$AF$452,MATCH(Q90&amp;V90,【参考】数式用!$AC$3:$AC$452,0),MATCH(VLOOKUP(Z90,【参考】数式用!$AG$2:$AH$56,2,FALSE),【参考】数式用!$AD$2:$AF$2,0)),10)))</f>
        <v/>
      </c>
      <c r="AP90" s="502" t="str">
        <f>IF($L$16="", "", VLOOKUP(Z90,【参考】数式用!$A$2:$O$57,14,FALSE))</f>
        <v/>
      </c>
      <c r="AQ90" s="282" t="e">
        <f>VLOOKUP(Z90,【参考】数式用!$A$2:$O$57,15,FALSE)</f>
        <v>#N/A</v>
      </c>
    </row>
    <row r="91" spans="1:43" ht="49.9" customHeight="1">
      <c r="A91" s="1030">
        <f t="shared" si="1"/>
        <v>52</v>
      </c>
      <c r="B91" s="662"/>
      <c r="C91" s="663"/>
      <c r="D91" s="663"/>
      <c r="E91" s="663"/>
      <c r="F91" s="663"/>
      <c r="G91" s="663"/>
      <c r="H91" s="663"/>
      <c r="I91" s="663"/>
      <c r="J91" s="663"/>
      <c r="K91" s="663"/>
      <c r="L91" s="661"/>
      <c r="M91" s="661"/>
      <c r="N91" s="661"/>
      <c r="O91" s="661"/>
      <c r="P91" s="661"/>
      <c r="Q91" s="650"/>
      <c r="R91" s="650"/>
      <c r="S91" s="650"/>
      <c r="T91" s="650"/>
      <c r="U91" s="650"/>
      <c r="V91" s="476"/>
      <c r="W91" s="649"/>
      <c r="X91" s="649"/>
      <c r="Y91" s="649"/>
      <c r="Z91" s="649"/>
      <c r="AA91" s="649"/>
      <c r="AB91" s="649"/>
      <c r="AC91" s="236" t="str">
        <f>IFERROR(VLOOKUP(Z91,【参考】数式用!$A$4:$B$57,2,FALSE),"")</f>
        <v/>
      </c>
      <c r="AD91" s="137"/>
      <c r="AE91" s="138"/>
      <c r="AF91" s="237">
        <f t="shared" si="0"/>
        <v>0</v>
      </c>
      <c r="AG91" s="66" t="str">
        <f>IF(B91="","",IF(AQ91="総合事業","数式を削除して手入力",IFERROR(INDEX(【参考】数式用!$AD$3:$AF$452,MATCH(Q91&amp;V91,【参考】数式用!$AC$3:$AC$452,0),MATCH(VLOOKUP(Z91,【参考】数式用!$AG$2:$AH$56,2,FALSE),【参考】数式用!$AD$2:$AF$2,0)),10)))</f>
        <v/>
      </c>
      <c r="AP91" s="502" t="str">
        <f>IF($L$16="", "", VLOOKUP(Z91,【参考】数式用!$A$2:$O$57,14,FALSE))</f>
        <v/>
      </c>
      <c r="AQ91" s="282" t="e">
        <f>VLOOKUP(Z91,【参考】数式用!$A$2:$O$57,15,FALSE)</f>
        <v>#N/A</v>
      </c>
    </row>
    <row r="92" spans="1:43" ht="49.9" customHeight="1">
      <c r="A92" s="1030">
        <f t="shared" si="1"/>
        <v>53</v>
      </c>
      <c r="B92" s="662"/>
      <c r="C92" s="663"/>
      <c r="D92" s="663"/>
      <c r="E92" s="663"/>
      <c r="F92" s="663"/>
      <c r="G92" s="663"/>
      <c r="H92" s="663"/>
      <c r="I92" s="663"/>
      <c r="J92" s="663"/>
      <c r="K92" s="663"/>
      <c r="L92" s="661"/>
      <c r="M92" s="661"/>
      <c r="N92" s="661"/>
      <c r="O92" s="661"/>
      <c r="P92" s="661"/>
      <c r="Q92" s="650"/>
      <c r="R92" s="650"/>
      <c r="S92" s="650"/>
      <c r="T92" s="650"/>
      <c r="U92" s="650"/>
      <c r="V92" s="476"/>
      <c r="W92" s="649"/>
      <c r="X92" s="649"/>
      <c r="Y92" s="649"/>
      <c r="Z92" s="649"/>
      <c r="AA92" s="649"/>
      <c r="AB92" s="649"/>
      <c r="AC92" s="236" t="str">
        <f>IFERROR(VLOOKUP(Z92,【参考】数式用!$A$4:$B$57,2,FALSE),"")</f>
        <v/>
      </c>
      <c r="AD92" s="137"/>
      <c r="AE92" s="138"/>
      <c r="AF92" s="237">
        <f t="shared" si="0"/>
        <v>0</v>
      </c>
      <c r="AG92" s="66" t="str">
        <f>IF(B92="","",IF(AQ92="総合事業","数式を削除して手入力",IFERROR(INDEX(【参考】数式用!$AD$3:$AF$452,MATCH(Q92&amp;V92,【参考】数式用!$AC$3:$AC$452,0),MATCH(VLOOKUP(Z92,【参考】数式用!$AG$2:$AH$56,2,FALSE),【参考】数式用!$AD$2:$AF$2,0)),10)))</f>
        <v/>
      </c>
      <c r="AP92" s="502" t="str">
        <f>IF($L$16="", "", VLOOKUP(Z92,【参考】数式用!$A$2:$O$57,14,FALSE))</f>
        <v/>
      </c>
      <c r="AQ92" s="282" t="e">
        <f>VLOOKUP(Z92,【参考】数式用!$A$2:$O$57,15,FALSE)</f>
        <v>#N/A</v>
      </c>
    </row>
    <row r="93" spans="1:43" ht="49.9" customHeight="1">
      <c r="A93" s="1030">
        <f t="shared" si="1"/>
        <v>54</v>
      </c>
      <c r="B93" s="662"/>
      <c r="C93" s="663"/>
      <c r="D93" s="663"/>
      <c r="E93" s="663"/>
      <c r="F93" s="663"/>
      <c r="G93" s="663"/>
      <c r="H93" s="663"/>
      <c r="I93" s="663"/>
      <c r="J93" s="663"/>
      <c r="K93" s="663"/>
      <c r="L93" s="661"/>
      <c r="M93" s="661"/>
      <c r="N93" s="661"/>
      <c r="O93" s="661"/>
      <c r="P93" s="661"/>
      <c r="Q93" s="650"/>
      <c r="R93" s="650"/>
      <c r="S93" s="650"/>
      <c r="T93" s="650"/>
      <c r="U93" s="650"/>
      <c r="V93" s="476"/>
      <c r="W93" s="649"/>
      <c r="X93" s="649"/>
      <c r="Y93" s="649"/>
      <c r="Z93" s="649"/>
      <c r="AA93" s="649"/>
      <c r="AB93" s="649"/>
      <c r="AC93" s="236" t="str">
        <f>IFERROR(VLOOKUP(Z93,【参考】数式用!$A$4:$B$57,2,FALSE),"")</f>
        <v/>
      </c>
      <c r="AD93" s="137"/>
      <c r="AE93" s="138"/>
      <c r="AF93" s="237">
        <f t="shared" si="0"/>
        <v>0</v>
      </c>
      <c r="AG93" s="66" t="str">
        <f>IF(B93="","",IF(AQ93="総合事業","数式を削除して手入力",IFERROR(INDEX(【参考】数式用!$AD$3:$AF$452,MATCH(Q93&amp;V93,【参考】数式用!$AC$3:$AC$452,0),MATCH(VLOOKUP(Z93,【参考】数式用!$AG$2:$AH$56,2,FALSE),【参考】数式用!$AD$2:$AF$2,0)),10)))</f>
        <v/>
      </c>
      <c r="AP93" s="502" t="str">
        <f>IF($L$16="", "", VLOOKUP(Z93,【参考】数式用!$A$2:$O$57,14,FALSE))</f>
        <v/>
      </c>
      <c r="AQ93" s="282" t="e">
        <f>VLOOKUP(Z93,【参考】数式用!$A$2:$O$57,15,FALSE)</f>
        <v>#N/A</v>
      </c>
    </row>
    <row r="94" spans="1:43" ht="49.9" customHeight="1">
      <c r="A94" s="1030">
        <f t="shared" si="1"/>
        <v>55</v>
      </c>
      <c r="B94" s="662"/>
      <c r="C94" s="663"/>
      <c r="D94" s="663"/>
      <c r="E94" s="663"/>
      <c r="F94" s="663"/>
      <c r="G94" s="663"/>
      <c r="H94" s="663"/>
      <c r="I94" s="663"/>
      <c r="J94" s="663"/>
      <c r="K94" s="663"/>
      <c r="L94" s="661"/>
      <c r="M94" s="661"/>
      <c r="N94" s="661"/>
      <c r="O94" s="661"/>
      <c r="P94" s="661"/>
      <c r="Q94" s="650"/>
      <c r="R94" s="650"/>
      <c r="S94" s="650"/>
      <c r="T94" s="650"/>
      <c r="U94" s="650"/>
      <c r="V94" s="476"/>
      <c r="W94" s="649"/>
      <c r="X94" s="649"/>
      <c r="Y94" s="649"/>
      <c r="Z94" s="649"/>
      <c r="AA94" s="649"/>
      <c r="AB94" s="649"/>
      <c r="AC94" s="236" t="str">
        <f>IFERROR(VLOOKUP(Z94,【参考】数式用!$A$4:$B$57,2,FALSE),"")</f>
        <v/>
      </c>
      <c r="AD94" s="137"/>
      <c r="AE94" s="138"/>
      <c r="AF94" s="237">
        <f t="shared" si="0"/>
        <v>0</v>
      </c>
      <c r="AG94" s="66" t="str">
        <f>IF(B94="","",IF(AQ94="総合事業","数式を削除して手入力",IFERROR(INDEX(【参考】数式用!$AD$3:$AF$452,MATCH(Q94&amp;V94,【参考】数式用!$AC$3:$AC$452,0),MATCH(VLOOKUP(Z94,【参考】数式用!$AG$2:$AH$56,2,FALSE),【参考】数式用!$AD$2:$AF$2,0)),10)))</f>
        <v/>
      </c>
      <c r="AP94" s="502" t="str">
        <f>IF($L$16="", "", VLOOKUP(Z94,【参考】数式用!$A$2:$O$57,14,FALSE))</f>
        <v/>
      </c>
      <c r="AQ94" s="282" t="e">
        <f>VLOOKUP(Z94,【参考】数式用!$A$2:$O$57,15,FALSE)</f>
        <v>#N/A</v>
      </c>
    </row>
    <row r="95" spans="1:43" ht="49.9" customHeight="1">
      <c r="A95" s="1030">
        <f t="shared" si="1"/>
        <v>56</v>
      </c>
      <c r="B95" s="662"/>
      <c r="C95" s="663"/>
      <c r="D95" s="663"/>
      <c r="E95" s="663"/>
      <c r="F95" s="663"/>
      <c r="G95" s="663"/>
      <c r="H95" s="663"/>
      <c r="I95" s="663"/>
      <c r="J95" s="663"/>
      <c r="K95" s="663"/>
      <c r="L95" s="661"/>
      <c r="M95" s="661"/>
      <c r="N95" s="661"/>
      <c r="O95" s="661"/>
      <c r="P95" s="661"/>
      <c r="Q95" s="650"/>
      <c r="R95" s="650"/>
      <c r="S95" s="650"/>
      <c r="T95" s="650"/>
      <c r="U95" s="650"/>
      <c r="V95" s="476"/>
      <c r="W95" s="649"/>
      <c r="X95" s="649"/>
      <c r="Y95" s="649"/>
      <c r="Z95" s="649"/>
      <c r="AA95" s="649"/>
      <c r="AB95" s="649"/>
      <c r="AC95" s="236" t="str">
        <f>IFERROR(VLOOKUP(Z95,【参考】数式用!$A$4:$B$57,2,FALSE),"")</f>
        <v/>
      </c>
      <c r="AD95" s="137"/>
      <c r="AE95" s="138"/>
      <c r="AF95" s="237">
        <f t="shared" si="0"/>
        <v>0</v>
      </c>
      <c r="AG95" s="66" t="str">
        <f>IF(B95="","",IF(AQ95="総合事業","数式を削除して手入力",IFERROR(INDEX(【参考】数式用!$AD$3:$AF$452,MATCH(Q95&amp;V95,【参考】数式用!$AC$3:$AC$452,0),MATCH(VLOOKUP(Z95,【参考】数式用!$AG$2:$AH$56,2,FALSE),【参考】数式用!$AD$2:$AF$2,0)),10)))</f>
        <v/>
      </c>
      <c r="AP95" s="502" t="str">
        <f>IF($L$16="", "", VLOOKUP(Z95,【参考】数式用!$A$2:$O$57,14,FALSE))</f>
        <v/>
      </c>
      <c r="AQ95" s="282" t="e">
        <f>VLOOKUP(Z95,【参考】数式用!$A$2:$O$57,15,FALSE)</f>
        <v>#N/A</v>
      </c>
    </row>
    <row r="96" spans="1:43" ht="49.9" customHeight="1">
      <c r="A96" s="1030">
        <f t="shared" si="1"/>
        <v>57</v>
      </c>
      <c r="B96" s="662"/>
      <c r="C96" s="663"/>
      <c r="D96" s="663"/>
      <c r="E96" s="663"/>
      <c r="F96" s="663"/>
      <c r="G96" s="663"/>
      <c r="H96" s="663"/>
      <c r="I96" s="663"/>
      <c r="J96" s="663"/>
      <c r="K96" s="663"/>
      <c r="L96" s="661"/>
      <c r="M96" s="661"/>
      <c r="N96" s="661"/>
      <c r="O96" s="661"/>
      <c r="P96" s="661"/>
      <c r="Q96" s="650"/>
      <c r="R96" s="650"/>
      <c r="S96" s="650"/>
      <c r="T96" s="650"/>
      <c r="U96" s="650"/>
      <c r="V96" s="476"/>
      <c r="W96" s="649"/>
      <c r="X96" s="649"/>
      <c r="Y96" s="649"/>
      <c r="Z96" s="649"/>
      <c r="AA96" s="649"/>
      <c r="AB96" s="649"/>
      <c r="AC96" s="236" t="str">
        <f>IFERROR(VLOOKUP(Z96,【参考】数式用!$A$4:$B$57,2,FALSE),"")</f>
        <v/>
      </c>
      <c r="AD96" s="137"/>
      <c r="AE96" s="138"/>
      <c r="AF96" s="237">
        <f t="shared" si="0"/>
        <v>0</v>
      </c>
      <c r="AG96" s="66" t="str">
        <f>IF(B96="","",IF(AQ96="総合事業","数式を削除して手入力",IFERROR(INDEX(【参考】数式用!$AD$3:$AF$452,MATCH(Q96&amp;V96,【参考】数式用!$AC$3:$AC$452,0),MATCH(VLOOKUP(Z96,【参考】数式用!$AG$2:$AH$56,2,FALSE),【参考】数式用!$AD$2:$AF$2,0)),10)))</f>
        <v/>
      </c>
      <c r="AP96" s="502" t="str">
        <f>IF($L$16="", "", VLOOKUP(Z96,【参考】数式用!$A$2:$O$57,14,FALSE))</f>
        <v/>
      </c>
      <c r="AQ96" s="282" t="e">
        <f>VLOOKUP(Z96,【参考】数式用!$A$2:$O$57,15,FALSE)</f>
        <v>#N/A</v>
      </c>
    </row>
    <row r="97" spans="1:43" ht="49.9" customHeight="1">
      <c r="A97" s="1030">
        <f t="shared" si="1"/>
        <v>58</v>
      </c>
      <c r="B97" s="662"/>
      <c r="C97" s="663"/>
      <c r="D97" s="663"/>
      <c r="E97" s="663"/>
      <c r="F97" s="663"/>
      <c r="G97" s="663"/>
      <c r="H97" s="663"/>
      <c r="I97" s="663"/>
      <c r="J97" s="663"/>
      <c r="K97" s="663"/>
      <c r="L97" s="661"/>
      <c r="M97" s="661"/>
      <c r="N97" s="661"/>
      <c r="O97" s="661"/>
      <c r="P97" s="661"/>
      <c r="Q97" s="650"/>
      <c r="R97" s="650"/>
      <c r="S97" s="650"/>
      <c r="T97" s="650"/>
      <c r="U97" s="650"/>
      <c r="V97" s="476"/>
      <c r="W97" s="649"/>
      <c r="X97" s="649"/>
      <c r="Y97" s="649"/>
      <c r="Z97" s="649"/>
      <c r="AA97" s="649"/>
      <c r="AB97" s="649"/>
      <c r="AC97" s="236" t="str">
        <f>IFERROR(VLOOKUP(Z97,【参考】数式用!$A$4:$B$57,2,FALSE),"")</f>
        <v/>
      </c>
      <c r="AD97" s="137"/>
      <c r="AE97" s="138"/>
      <c r="AF97" s="237">
        <f t="shared" si="0"/>
        <v>0</v>
      </c>
      <c r="AG97" s="66" t="str">
        <f>IF(B97="","",IF(AQ97="総合事業","数式を削除して手入力",IFERROR(INDEX(【参考】数式用!$AD$3:$AF$452,MATCH(Q97&amp;V97,【参考】数式用!$AC$3:$AC$452,0),MATCH(VLOOKUP(Z97,【参考】数式用!$AG$2:$AH$56,2,FALSE),【参考】数式用!$AD$2:$AF$2,0)),10)))</f>
        <v/>
      </c>
      <c r="AP97" s="502" t="str">
        <f>IF($L$16="", "", VLOOKUP(Z97,【参考】数式用!$A$2:$O$57,14,FALSE))</f>
        <v/>
      </c>
      <c r="AQ97" s="282" t="e">
        <f>VLOOKUP(Z97,【参考】数式用!$A$2:$O$57,15,FALSE)</f>
        <v>#N/A</v>
      </c>
    </row>
    <row r="98" spans="1:43" ht="49.9" customHeight="1">
      <c r="A98" s="1030">
        <f t="shared" si="1"/>
        <v>59</v>
      </c>
      <c r="B98" s="662"/>
      <c r="C98" s="663"/>
      <c r="D98" s="663"/>
      <c r="E98" s="663"/>
      <c r="F98" s="663"/>
      <c r="G98" s="663"/>
      <c r="H98" s="663"/>
      <c r="I98" s="663"/>
      <c r="J98" s="663"/>
      <c r="K98" s="663"/>
      <c r="L98" s="661"/>
      <c r="M98" s="661"/>
      <c r="N98" s="661"/>
      <c r="O98" s="661"/>
      <c r="P98" s="661"/>
      <c r="Q98" s="650"/>
      <c r="R98" s="650"/>
      <c r="S98" s="650"/>
      <c r="T98" s="650"/>
      <c r="U98" s="650"/>
      <c r="V98" s="476"/>
      <c r="W98" s="649"/>
      <c r="X98" s="649"/>
      <c r="Y98" s="649"/>
      <c r="Z98" s="649"/>
      <c r="AA98" s="649"/>
      <c r="AB98" s="649"/>
      <c r="AC98" s="236" t="str">
        <f>IFERROR(VLOOKUP(Z98,【参考】数式用!$A$4:$B$57,2,FALSE),"")</f>
        <v/>
      </c>
      <c r="AD98" s="137"/>
      <c r="AE98" s="138"/>
      <c r="AF98" s="237">
        <f t="shared" si="0"/>
        <v>0</v>
      </c>
      <c r="AG98" s="66" t="str">
        <f>IF(B98="","",IF(AQ98="総合事業","数式を削除して手入力",IFERROR(INDEX(【参考】数式用!$AD$3:$AF$452,MATCH(Q98&amp;V98,【参考】数式用!$AC$3:$AC$452,0),MATCH(VLOOKUP(Z98,【参考】数式用!$AG$2:$AH$56,2,FALSE),【参考】数式用!$AD$2:$AF$2,0)),10)))</f>
        <v/>
      </c>
      <c r="AP98" s="502" t="str">
        <f>IF($L$16="", "", VLOOKUP(Z98,【参考】数式用!$A$2:$O$57,14,FALSE))</f>
        <v/>
      </c>
      <c r="AQ98" s="282" t="e">
        <f>VLOOKUP(Z98,【参考】数式用!$A$2:$O$57,15,FALSE)</f>
        <v>#N/A</v>
      </c>
    </row>
    <row r="99" spans="1:43" ht="49.9" customHeight="1">
      <c r="A99" s="1030">
        <f t="shared" si="1"/>
        <v>60</v>
      </c>
      <c r="B99" s="662"/>
      <c r="C99" s="663"/>
      <c r="D99" s="663"/>
      <c r="E99" s="663"/>
      <c r="F99" s="663"/>
      <c r="G99" s="663"/>
      <c r="H99" s="663"/>
      <c r="I99" s="663"/>
      <c r="J99" s="663"/>
      <c r="K99" s="663"/>
      <c r="L99" s="661"/>
      <c r="M99" s="661"/>
      <c r="N99" s="661"/>
      <c r="O99" s="661"/>
      <c r="P99" s="661"/>
      <c r="Q99" s="650"/>
      <c r="R99" s="650"/>
      <c r="S99" s="650"/>
      <c r="T99" s="650"/>
      <c r="U99" s="650"/>
      <c r="V99" s="476"/>
      <c r="W99" s="649"/>
      <c r="X99" s="649"/>
      <c r="Y99" s="649"/>
      <c r="Z99" s="649"/>
      <c r="AA99" s="649"/>
      <c r="AB99" s="649"/>
      <c r="AC99" s="236" t="str">
        <f>IFERROR(VLOOKUP(Z99,【参考】数式用!$A$4:$B$57,2,FALSE),"")</f>
        <v/>
      </c>
      <c r="AD99" s="137"/>
      <c r="AE99" s="138"/>
      <c r="AF99" s="237">
        <f t="shared" si="0"/>
        <v>0</v>
      </c>
      <c r="AG99" s="66" t="str">
        <f>IF(B99="","",IF(AQ99="総合事業","数式を削除して手入力",IFERROR(INDEX(【参考】数式用!$AD$3:$AF$452,MATCH(Q99&amp;V99,【参考】数式用!$AC$3:$AC$452,0),MATCH(VLOOKUP(Z99,【参考】数式用!$AG$2:$AH$56,2,FALSE),【参考】数式用!$AD$2:$AF$2,0)),10)))</f>
        <v/>
      </c>
      <c r="AP99" s="502" t="str">
        <f>IF($L$16="", "", VLOOKUP(Z99,【参考】数式用!$A$2:$O$57,14,FALSE))</f>
        <v/>
      </c>
      <c r="AQ99" s="282" t="e">
        <f>VLOOKUP(Z99,【参考】数式用!$A$2:$O$57,15,FALSE)</f>
        <v>#N/A</v>
      </c>
    </row>
    <row r="100" spans="1:43" ht="49.9" customHeight="1">
      <c r="A100" s="1030">
        <f t="shared" si="1"/>
        <v>61</v>
      </c>
      <c r="B100" s="662"/>
      <c r="C100" s="663"/>
      <c r="D100" s="663"/>
      <c r="E100" s="663"/>
      <c r="F100" s="663"/>
      <c r="G100" s="663"/>
      <c r="H100" s="663"/>
      <c r="I100" s="663"/>
      <c r="J100" s="663"/>
      <c r="K100" s="663"/>
      <c r="L100" s="661"/>
      <c r="M100" s="661"/>
      <c r="N100" s="661"/>
      <c r="O100" s="661"/>
      <c r="P100" s="661"/>
      <c r="Q100" s="650"/>
      <c r="R100" s="650"/>
      <c r="S100" s="650"/>
      <c r="T100" s="650"/>
      <c r="U100" s="650"/>
      <c r="V100" s="476"/>
      <c r="W100" s="649"/>
      <c r="X100" s="649"/>
      <c r="Y100" s="649"/>
      <c r="Z100" s="649"/>
      <c r="AA100" s="649"/>
      <c r="AB100" s="649"/>
      <c r="AC100" s="236" t="str">
        <f>IFERROR(VLOOKUP(Z100,【参考】数式用!$A$4:$B$57,2,FALSE),"")</f>
        <v/>
      </c>
      <c r="AD100" s="137"/>
      <c r="AE100" s="138"/>
      <c r="AF100" s="237">
        <f t="shared" si="0"/>
        <v>0</v>
      </c>
      <c r="AG100" s="66" t="str">
        <f>IF(B100="","",IF(AQ100="総合事業","数式を削除して手入力",IFERROR(INDEX(【参考】数式用!$AD$3:$AF$452,MATCH(Q100&amp;V100,【参考】数式用!$AC$3:$AC$452,0),MATCH(VLOOKUP(Z100,【参考】数式用!$AG$2:$AH$56,2,FALSE),【参考】数式用!$AD$2:$AF$2,0)),10)))</f>
        <v/>
      </c>
      <c r="AP100" s="502" t="str">
        <f>IF($L$16="", "", VLOOKUP(Z100,【参考】数式用!$A$2:$O$57,14,FALSE))</f>
        <v/>
      </c>
      <c r="AQ100" s="282" t="e">
        <f>VLOOKUP(Z100,【参考】数式用!$A$2:$O$57,15,FALSE)</f>
        <v>#N/A</v>
      </c>
    </row>
    <row r="101" spans="1:43" ht="49.9" customHeight="1">
      <c r="A101" s="1030">
        <f t="shared" si="1"/>
        <v>62</v>
      </c>
      <c r="B101" s="662"/>
      <c r="C101" s="663"/>
      <c r="D101" s="663"/>
      <c r="E101" s="663"/>
      <c r="F101" s="663"/>
      <c r="G101" s="663"/>
      <c r="H101" s="663"/>
      <c r="I101" s="663"/>
      <c r="J101" s="663"/>
      <c r="K101" s="663"/>
      <c r="L101" s="661"/>
      <c r="M101" s="661"/>
      <c r="N101" s="661"/>
      <c r="O101" s="661"/>
      <c r="P101" s="661"/>
      <c r="Q101" s="650"/>
      <c r="R101" s="650"/>
      <c r="S101" s="650"/>
      <c r="T101" s="650"/>
      <c r="U101" s="650"/>
      <c r="V101" s="476"/>
      <c r="W101" s="649"/>
      <c r="X101" s="649"/>
      <c r="Y101" s="649"/>
      <c r="Z101" s="649"/>
      <c r="AA101" s="649"/>
      <c r="AB101" s="649"/>
      <c r="AC101" s="236" t="str">
        <f>IFERROR(VLOOKUP(Z101,【参考】数式用!$A$4:$B$57,2,FALSE),"")</f>
        <v/>
      </c>
      <c r="AD101" s="137"/>
      <c r="AE101" s="138"/>
      <c r="AF101" s="237">
        <f t="shared" si="0"/>
        <v>0</v>
      </c>
      <c r="AG101" s="66" t="str">
        <f>IF(B101="","",IF(AQ101="総合事業","数式を削除して手入力",IFERROR(INDEX(【参考】数式用!$AD$3:$AF$452,MATCH(Q101&amp;V101,【参考】数式用!$AC$3:$AC$452,0),MATCH(VLOOKUP(Z101,【参考】数式用!$AG$2:$AH$56,2,FALSE),【参考】数式用!$AD$2:$AF$2,0)),10)))</f>
        <v/>
      </c>
      <c r="AP101" s="502" t="str">
        <f>IF($L$16="", "", VLOOKUP(Z101,【参考】数式用!$A$2:$O$57,14,FALSE))</f>
        <v/>
      </c>
      <c r="AQ101" s="282" t="e">
        <f>VLOOKUP(Z101,【参考】数式用!$A$2:$O$57,15,FALSE)</f>
        <v>#N/A</v>
      </c>
    </row>
    <row r="102" spans="1:43" ht="49.9" customHeight="1">
      <c r="A102" s="1030">
        <f t="shared" si="1"/>
        <v>63</v>
      </c>
      <c r="B102" s="662"/>
      <c r="C102" s="663"/>
      <c r="D102" s="663"/>
      <c r="E102" s="663"/>
      <c r="F102" s="663"/>
      <c r="G102" s="663"/>
      <c r="H102" s="663"/>
      <c r="I102" s="663"/>
      <c r="J102" s="663"/>
      <c r="K102" s="663"/>
      <c r="L102" s="661"/>
      <c r="M102" s="661"/>
      <c r="N102" s="661"/>
      <c r="O102" s="661"/>
      <c r="P102" s="661"/>
      <c r="Q102" s="650"/>
      <c r="R102" s="650"/>
      <c r="S102" s="650"/>
      <c r="T102" s="650"/>
      <c r="U102" s="650"/>
      <c r="V102" s="476"/>
      <c r="W102" s="649"/>
      <c r="X102" s="649"/>
      <c r="Y102" s="649"/>
      <c r="Z102" s="649"/>
      <c r="AA102" s="649"/>
      <c r="AB102" s="649"/>
      <c r="AC102" s="236" t="str">
        <f>IFERROR(VLOOKUP(Z102,【参考】数式用!$A$4:$B$57,2,FALSE),"")</f>
        <v/>
      </c>
      <c r="AD102" s="137"/>
      <c r="AE102" s="138"/>
      <c r="AF102" s="237">
        <f t="shared" si="0"/>
        <v>0</v>
      </c>
      <c r="AG102" s="66" t="str">
        <f>IF(B102="","",IF(AQ102="総合事業","数式を削除して手入力",IFERROR(INDEX(【参考】数式用!$AD$3:$AF$452,MATCH(Q102&amp;V102,【参考】数式用!$AC$3:$AC$452,0),MATCH(VLOOKUP(Z102,【参考】数式用!$AG$2:$AH$56,2,FALSE),【参考】数式用!$AD$2:$AF$2,0)),10)))</f>
        <v/>
      </c>
      <c r="AP102" s="502" t="str">
        <f>IF($L$16="", "", VLOOKUP(Z102,【参考】数式用!$A$2:$O$57,14,FALSE))</f>
        <v/>
      </c>
      <c r="AQ102" s="282" t="e">
        <f>VLOOKUP(Z102,【参考】数式用!$A$2:$O$57,15,FALSE)</f>
        <v>#N/A</v>
      </c>
    </row>
    <row r="103" spans="1:43" ht="49.9" customHeight="1">
      <c r="A103" s="1030">
        <f t="shared" si="1"/>
        <v>64</v>
      </c>
      <c r="B103" s="662"/>
      <c r="C103" s="663"/>
      <c r="D103" s="663"/>
      <c r="E103" s="663"/>
      <c r="F103" s="663"/>
      <c r="G103" s="663"/>
      <c r="H103" s="663"/>
      <c r="I103" s="663"/>
      <c r="J103" s="663"/>
      <c r="K103" s="663"/>
      <c r="L103" s="661"/>
      <c r="M103" s="661"/>
      <c r="N103" s="661"/>
      <c r="O103" s="661"/>
      <c r="P103" s="661"/>
      <c r="Q103" s="650"/>
      <c r="R103" s="650"/>
      <c r="S103" s="650"/>
      <c r="T103" s="650"/>
      <c r="U103" s="650"/>
      <c r="V103" s="476"/>
      <c r="W103" s="649"/>
      <c r="X103" s="649"/>
      <c r="Y103" s="649"/>
      <c r="Z103" s="649"/>
      <c r="AA103" s="649"/>
      <c r="AB103" s="649"/>
      <c r="AC103" s="236" t="str">
        <f>IFERROR(VLOOKUP(Z103,【参考】数式用!$A$4:$B$57,2,FALSE),"")</f>
        <v/>
      </c>
      <c r="AD103" s="137"/>
      <c r="AE103" s="138"/>
      <c r="AF103" s="237">
        <f t="shared" si="0"/>
        <v>0</v>
      </c>
      <c r="AG103" s="66" t="str">
        <f>IF(B103="","",IF(AQ103="総合事業","数式を削除して手入力",IFERROR(INDEX(【参考】数式用!$AD$3:$AF$452,MATCH(Q103&amp;V103,【参考】数式用!$AC$3:$AC$452,0),MATCH(VLOOKUP(Z103,【参考】数式用!$AG$2:$AH$56,2,FALSE),【参考】数式用!$AD$2:$AF$2,0)),10)))</f>
        <v/>
      </c>
      <c r="AP103" s="502" t="str">
        <f>IF($L$16="", "", VLOOKUP(Z103,【参考】数式用!$A$2:$O$57,14,FALSE))</f>
        <v/>
      </c>
      <c r="AQ103" s="282" t="e">
        <f>VLOOKUP(Z103,【参考】数式用!$A$2:$O$57,15,FALSE)</f>
        <v>#N/A</v>
      </c>
    </row>
    <row r="104" spans="1:43" ht="49.9" customHeight="1">
      <c r="A104" s="1030">
        <f t="shared" si="1"/>
        <v>65</v>
      </c>
      <c r="B104" s="662"/>
      <c r="C104" s="663"/>
      <c r="D104" s="663"/>
      <c r="E104" s="663"/>
      <c r="F104" s="663"/>
      <c r="G104" s="663"/>
      <c r="H104" s="663"/>
      <c r="I104" s="663"/>
      <c r="J104" s="663"/>
      <c r="K104" s="663"/>
      <c r="L104" s="661"/>
      <c r="M104" s="661"/>
      <c r="N104" s="661"/>
      <c r="O104" s="661"/>
      <c r="P104" s="661"/>
      <c r="Q104" s="650"/>
      <c r="R104" s="650"/>
      <c r="S104" s="650"/>
      <c r="T104" s="650"/>
      <c r="U104" s="650"/>
      <c r="V104" s="476"/>
      <c r="W104" s="649"/>
      <c r="X104" s="649"/>
      <c r="Y104" s="649"/>
      <c r="Z104" s="649"/>
      <c r="AA104" s="649"/>
      <c r="AB104" s="649"/>
      <c r="AC104" s="236" t="str">
        <f>IFERROR(VLOOKUP(Z104,【参考】数式用!$A$4:$B$57,2,FALSE),"")</f>
        <v/>
      </c>
      <c r="AD104" s="137"/>
      <c r="AE104" s="138"/>
      <c r="AF104" s="237">
        <f t="shared" si="0"/>
        <v>0</v>
      </c>
      <c r="AG104" s="66" t="str">
        <f>IF(B104="","",IF(AQ104="総合事業","数式を削除して手入力",IFERROR(INDEX(【参考】数式用!$AD$3:$AF$452,MATCH(Q104&amp;V104,【参考】数式用!$AC$3:$AC$452,0),MATCH(VLOOKUP(Z104,【参考】数式用!$AG$2:$AH$56,2,FALSE),【参考】数式用!$AD$2:$AF$2,0)),10)))</f>
        <v/>
      </c>
      <c r="AP104" s="502" t="str">
        <f>IF($L$16="", "", VLOOKUP(Z104,【参考】数式用!$A$2:$O$57,14,FALSE))</f>
        <v/>
      </c>
      <c r="AQ104" s="282" t="e">
        <f>VLOOKUP(Z104,【参考】数式用!$A$2:$O$57,15,FALSE)</f>
        <v>#N/A</v>
      </c>
    </row>
    <row r="105" spans="1:43" ht="49.9" customHeight="1">
      <c r="A105" s="1030">
        <f t="shared" si="1"/>
        <v>66</v>
      </c>
      <c r="B105" s="662"/>
      <c r="C105" s="663"/>
      <c r="D105" s="663"/>
      <c r="E105" s="663"/>
      <c r="F105" s="663"/>
      <c r="G105" s="663"/>
      <c r="H105" s="663"/>
      <c r="I105" s="663"/>
      <c r="J105" s="663"/>
      <c r="K105" s="663"/>
      <c r="L105" s="661"/>
      <c r="M105" s="661"/>
      <c r="N105" s="661"/>
      <c r="O105" s="661"/>
      <c r="P105" s="661"/>
      <c r="Q105" s="650"/>
      <c r="R105" s="650"/>
      <c r="S105" s="650"/>
      <c r="T105" s="650"/>
      <c r="U105" s="650"/>
      <c r="V105" s="476"/>
      <c r="W105" s="649"/>
      <c r="X105" s="649"/>
      <c r="Y105" s="649"/>
      <c r="Z105" s="649"/>
      <c r="AA105" s="649"/>
      <c r="AB105" s="649"/>
      <c r="AC105" s="236" t="str">
        <f>IFERROR(VLOOKUP(Z105,【参考】数式用!$A$4:$B$57,2,FALSE),"")</f>
        <v/>
      </c>
      <c r="AD105" s="137"/>
      <c r="AE105" s="138"/>
      <c r="AF105" s="237">
        <f t="shared" si="0"/>
        <v>0</v>
      </c>
      <c r="AG105" s="66" t="str">
        <f>IF(B105="","",IF(AQ105="総合事業","数式を削除して手入力",IFERROR(INDEX(【参考】数式用!$AD$3:$AF$452,MATCH(Q105&amp;V105,【参考】数式用!$AC$3:$AC$452,0),MATCH(VLOOKUP(Z105,【参考】数式用!$AG$2:$AH$56,2,FALSE),【参考】数式用!$AD$2:$AF$2,0)),10)))</f>
        <v/>
      </c>
      <c r="AP105" s="502" t="str">
        <f>IF($L$16="", "", VLOOKUP(Z105,【参考】数式用!$A$2:$O$57,14,FALSE))</f>
        <v/>
      </c>
      <c r="AQ105" s="282" t="e">
        <f>VLOOKUP(Z105,【参考】数式用!$A$2:$O$57,15,FALSE)</f>
        <v>#N/A</v>
      </c>
    </row>
    <row r="106" spans="1:43" ht="49.9" customHeight="1">
      <c r="A106" s="1030">
        <f t="shared" ref="A106:A139" si="3">A105+1</f>
        <v>67</v>
      </c>
      <c r="B106" s="662"/>
      <c r="C106" s="663"/>
      <c r="D106" s="663"/>
      <c r="E106" s="663"/>
      <c r="F106" s="663"/>
      <c r="G106" s="663"/>
      <c r="H106" s="663"/>
      <c r="I106" s="663"/>
      <c r="J106" s="663"/>
      <c r="K106" s="663"/>
      <c r="L106" s="661"/>
      <c r="M106" s="661"/>
      <c r="N106" s="661"/>
      <c r="O106" s="661"/>
      <c r="P106" s="661"/>
      <c r="Q106" s="650"/>
      <c r="R106" s="650"/>
      <c r="S106" s="650"/>
      <c r="T106" s="650"/>
      <c r="U106" s="650"/>
      <c r="V106" s="476"/>
      <c r="W106" s="649"/>
      <c r="X106" s="649"/>
      <c r="Y106" s="649"/>
      <c r="Z106" s="649"/>
      <c r="AA106" s="649"/>
      <c r="AB106" s="649"/>
      <c r="AC106" s="236" t="str">
        <f>IFERROR(VLOOKUP(Z106,【参考】数式用!$A$4:$B$57,2,FALSE),"")</f>
        <v/>
      </c>
      <c r="AD106" s="137"/>
      <c r="AE106" s="138"/>
      <c r="AF106" s="237">
        <f t="shared" ref="AF106:AF139" si="4">AD106-AE106</f>
        <v>0</v>
      </c>
      <c r="AG106" s="66" t="str">
        <f>IF(B106="","",IF(AQ106="総合事業","数式を削除して手入力",IFERROR(INDEX(【参考】数式用!$AD$3:$AF$452,MATCH(Q106&amp;V106,【参考】数式用!$AC$3:$AC$452,0),MATCH(VLOOKUP(Z106,【参考】数式用!$AG$2:$AH$56,2,FALSE),【参考】数式用!$AD$2:$AF$2,0)),10)))</f>
        <v/>
      </c>
      <c r="AP106" s="502" t="str">
        <f>IF($L$16="", "", VLOOKUP(Z106,【参考】数式用!$A$2:$O$57,14,FALSE))</f>
        <v/>
      </c>
      <c r="AQ106" s="282" t="e">
        <f>VLOOKUP(Z106,【参考】数式用!$A$2:$O$57,15,FALSE)</f>
        <v>#N/A</v>
      </c>
    </row>
    <row r="107" spans="1:43" ht="49.9" customHeight="1">
      <c r="A107" s="1030">
        <f t="shared" si="3"/>
        <v>68</v>
      </c>
      <c r="B107" s="662"/>
      <c r="C107" s="663"/>
      <c r="D107" s="663"/>
      <c r="E107" s="663"/>
      <c r="F107" s="663"/>
      <c r="G107" s="663"/>
      <c r="H107" s="663"/>
      <c r="I107" s="663"/>
      <c r="J107" s="663"/>
      <c r="K107" s="663"/>
      <c r="L107" s="661"/>
      <c r="M107" s="661"/>
      <c r="N107" s="661"/>
      <c r="O107" s="661"/>
      <c r="P107" s="661"/>
      <c r="Q107" s="650"/>
      <c r="R107" s="650"/>
      <c r="S107" s="650"/>
      <c r="T107" s="650"/>
      <c r="U107" s="650"/>
      <c r="V107" s="476"/>
      <c r="W107" s="649"/>
      <c r="X107" s="649"/>
      <c r="Y107" s="649"/>
      <c r="Z107" s="649"/>
      <c r="AA107" s="649"/>
      <c r="AB107" s="649"/>
      <c r="AC107" s="236" t="str">
        <f>IFERROR(VLOOKUP(Z107,【参考】数式用!$A$4:$B$57,2,FALSE),"")</f>
        <v/>
      </c>
      <c r="AD107" s="137"/>
      <c r="AE107" s="138"/>
      <c r="AF107" s="237">
        <f t="shared" si="4"/>
        <v>0</v>
      </c>
      <c r="AG107" s="66" t="str">
        <f>IF(B107="","",IF(AQ107="総合事業","数式を削除して手入力",IFERROR(INDEX(【参考】数式用!$AD$3:$AF$452,MATCH(Q107&amp;V107,【参考】数式用!$AC$3:$AC$452,0),MATCH(VLOOKUP(Z107,【参考】数式用!$AG$2:$AH$56,2,FALSE),【参考】数式用!$AD$2:$AF$2,0)),10)))</f>
        <v/>
      </c>
      <c r="AP107" s="502" t="str">
        <f>IF($L$16="", "", VLOOKUP(Z107,【参考】数式用!$A$2:$O$57,14,FALSE))</f>
        <v/>
      </c>
      <c r="AQ107" s="282" t="e">
        <f>VLOOKUP(Z107,【参考】数式用!$A$2:$O$57,15,FALSE)</f>
        <v>#N/A</v>
      </c>
    </row>
    <row r="108" spans="1:43" ht="49.9" customHeight="1">
      <c r="A108" s="1030">
        <f t="shared" si="3"/>
        <v>69</v>
      </c>
      <c r="B108" s="662"/>
      <c r="C108" s="663"/>
      <c r="D108" s="663"/>
      <c r="E108" s="663"/>
      <c r="F108" s="663"/>
      <c r="G108" s="663"/>
      <c r="H108" s="663"/>
      <c r="I108" s="663"/>
      <c r="J108" s="663"/>
      <c r="K108" s="663"/>
      <c r="L108" s="661"/>
      <c r="M108" s="661"/>
      <c r="N108" s="661"/>
      <c r="O108" s="661"/>
      <c r="P108" s="661"/>
      <c r="Q108" s="650"/>
      <c r="R108" s="650"/>
      <c r="S108" s="650"/>
      <c r="T108" s="650"/>
      <c r="U108" s="650"/>
      <c r="V108" s="476"/>
      <c r="W108" s="649"/>
      <c r="X108" s="649"/>
      <c r="Y108" s="649"/>
      <c r="Z108" s="649"/>
      <c r="AA108" s="649"/>
      <c r="AB108" s="649"/>
      <c r="AC108" s="236" t="str">
        <f>IFERROR(VLOOKUP(Z108,【参考】数式用!$A$4:$B$57,2,FALSE),"")</f>
        <v/>
      </c>
      <c r="AD108" s="137"/>
      <c r="AE108" s="138"/>
      <c r="AF108" s="237">
        <f t="shared" si="4"/>
        <v>0</v>
      </c>
      <c r="AG108" s="66" t="str">
        <f>IF(B108="","",IF(AQ108="総合事業","数式を削除して手入力",IFERROR(INDEX(【参考】数式用!$AD$3:$AF$452,MATCH(Q108&amp;V108,【参考】数式用!$AC$3:$AC$452,0),MATCH(VLOOKUP(Z108,【参考】数式用!$AG$2:$AH$56,2,FALSE),【参考】数式用!$AD$2:$AF$2,0)),10)))</f>
        <v/>
      </c>
      <c r="AP108" s="502" t="str">
        <f>IF($L$16="", "", VLOOKUP(Z108,【参考】数式用!$A$2:$O$57,14,FALSE))</f>
        <v/>
      </c>
      <c r="AQ108" s="282" t="e">
        <f>VLOOKUP(Z108,【参考】数式用!$A$2:$O$57,15,FALSE)</f>
        <v>#N/A</v>
      </c>
    </row>
    <row r="109" spans="1:43" ht="49.9" customHeight="1">
      <c r="A109" s="1030">
        <f t="shared" si="3"/>
        <v>70</v>
      </c>
      <c r="B109" s="662"/>
      <c r="C109" s="663"/>
      <c r="D109" s="663"/>
      <c r="E109" s="663"/>
      <c r="F109" s="663"/>
      <c r="G109" s="663"/>
      <c r="H109" s="663"/>
      <c r="I109" s="663"/>
      <c r="J109" s="663"/>
      <c r="K109" s="663"/>
      <c r="L109" s="661"/>
      <c r="M109" s="661"/>
      <c r="N109" s="661"/>
      <c r="O109" s="661"/>
      <c r="P109" s="661"/>
      <c r="Q109" s="650"/>
      <c r="R109" s="650"/>
      <c r="S109" s="650"/>
      <c r="T109" s="650"/>
      <c r="U109" s="650"/>
      <c r="V109" s="476"/>
      <c r="W109" s="649"/>
      <c r="X109" s="649"/>
      <c r="Y109" s="649"/>
      <c r="Z109" s="649"/>
      <c r="AA109" s="649"/>
      <c r="AB109" s="649"/>
      <c r="AC109" s="236" t="str">
        <f>IFERROR(VLOOKUP(Z109,【参考】数式用!$A$4:$B$57,2,FALSE),"")</f>
        <v/>
      </c>
      <c r="AD109" s="137"/>
      <c r="AE109" s="138"/>
      <c r="AF109" s="237">
        <f t="shared" si="4"/>
        <v>0</v>
      </c>
      <c r="AG109" s="66" t="str">
        <f>IF(B109="","",IF(AQ109="総合事業","数式を削除して手入力",IFERROR(INDEX(【参考】数式用!$AD$3:$AF$452,MATCH(Q109&amp;V109,【参考】数式用!$AC$3:$AC$452,0),MATCH(VLOOKUP(Z109,【参考】数式用!$AG$2:$AH$56,2,FALSE),【参考】数式用!$AD$2:$AF$2,0)),10)))</f>
        <v/>
      </c>
      <c r="AP109" s="502" t="str">
        <f>IF($L$16="", "", VLOOKUP(Z109,【参考】数式用!$A$2:$O$57,14,FALSE))</f>
        <v/>
      </c>
      <c r="AQ109" s="282" t="e">
        <f>VLOOKUP(Z109,【参考】数式用!$A$2:$O$57,15,FALSE)</f>
        <v>#N/A</v>
      </c>
    </row>
    <row r="110" spans="1:43" ht="49.9" customHeight="1">
      <c r="A110" s="1030">
        <f t="shared" si="3"/>
        <v>71</v>
      </c>
      <c r="B110" s="662"/>
      <c r="C110" s="663"/>
      <c r="D110" s="663"/>
      <c r="E110" s="663"/>
      <c r="F110" s="663"/>
      <c r="G110" s="663"/>
      <c r="H110" s="663"/>
      <c r="I110" s="663"/>
      <c r="J110" s="663"/>
      <c r="K110" s="663"/>
      <c r="L110" s="661"/>
      <c r="M110" s="661"/>
      <c r="N110" s="661"/>
      <c r="O110" s="661"/>
      <c r="P110" s="661"/>
      <c r="Q110" s="650"/>
      <c r="R110" s="650"/>
      <c r="S110" s="650"/>
      <c r="T110" s="650"/>
      <c r="U110" s="650"/>
      <c r="V110" s="476"/>
      <c r="W110" s="649"/>
      <c r="X110" s="649"/>
      <c r="Y110" s="649"/>
      <c r="Z110" s="649"/>
      <c r="AA110" s="649"/>
      <c r="AB110" s="649"/>
      <c r="AC110" s="236" t="str">
        <f>IFERROR(VLOOKUP(Z110,【参考】数式用!$A$4:$B$57,2,FALSE),"")</f>
        <v/>
      </c>
      <c r="AD110" s="137"/>
      <c r="AE110" s="138"/>
      <c r="AF110" s="237">
        <f t="shared" si="4"/>
        <v>0</v>
      </c>
      <c r="AG110" s="66" t="str">
        <f>IF(B110="","",IF(AQ110="総合事業","数式を削除して手入力",IFERROR(INDEX(【参考】数式用!$AD$3:$AF$452,MATCH(Q110&amp;V110,【参考】数式用!$AC$3:$AC$452,0),MATCH(VLOOKUP(Z110,【参考】数式用!$AG$2:$AH$56,2,FALSE),【参考】数式用!$AD$2:$AF$2,0)),10)))</f>
        <v/>
      </c>
      <c r="AP110" s="502" t="str">
        <f>IF($L$16="", "", VLOOKUP(Z110,【参考】数式用!$A$2:$O$57,14,FALSE))</f>
        <v/>
      </c>
      <c r="AQ110" s="282" t="e">
        <f>VLOOKUP(Z110,【参考】数式用!$A$2:$O$57,15,FALSE)</f>
        <v>#N/A</v>
      </c>
    </row>
    <row r="111" spans="1:43" ht="49.9" customHeight="1">
      <c r="A111" s="1030">
        <f t="shared" si="3"/>
        <v>72</v>
      </c>
      <c r="B111" s="662"/>
      <c r="C111" s="663"/>
      <c r="D111" s="663"/>
      <c r="E111" s="663"/>
      <c r="F111" s="663"/>
      <c r="G111" s="663"/>
      <c r="H111" s="663"/>
      <c r="I111" s="663"/>
      <c r="J111" s="663"/>
      <c r="K111" s="663"/>
      <c r="L111" s="661"/>
      <c r="M111" s="661"/>
      <c r="N111" s="661"/>
      <c r="O111" s="661"/>
      <c r="P111" s="661"/>
      <c r="Q111" s="650"/>
      <c r="R111" s="650"/>
      <c r="S111" s="650"/>
      <c r="T111" s="650"/>
      <c r="U111" s="650"/>
      <c r="V111" s="476"/>
      <c r="W111" s="649"/>
      <c r="X111" s="649"/>
      <c r="Y111" s="649"/>
      <c r="Z111" s="649"/>
      <c r="AA111" s="649"/>
      <c r="AB111" s="649"/>
      <c r="AC111" s="236" t="str">
        <f>IFERROR(VLOOKUP(Z111,【参考】数式用!$A$4:$B$57,2,FALSE),"")</f>
        <v/>
      </c>
      <c r="AD111" s="137"/>
      <c r="AE111" s="138"/>
      <c r="AF111" s="237">
        <f t="shared" si="4"/>
        <v>0</v>
      </c>
      <c r="AG111" s="66" t="str">
        <f>IF(B111="","",IF(AQ111="総合事業","数式を削除して手入力",IFERROR(INDEX(【参考】数式用!$AD$3:$AF$452,MATCH(Q111&amp;V111,【参考】数式用!$AC$3:$AC$452,0),MATCH(VLOOKUP(Z111,【参考】数式用!$AG$2:$AH$56,2,FALSE),【参考】数式用!$AD$2:$AF$2,0)),10)))</f>
        <v/>
      </c>
      <c r="AP111" s="502" t="str">
        <f>IF($L$16="", "", VLOOKUP(Z111,【参考】数式用!$A$2:$O$57,14,FALSE))</f>
        <v/>
      </c>
      <c r="AQ111" s="282" t="e">
        <f>VLOOKUP(Z111,【参考】数式用!$A$2:$O$57,15,FALSE)</f>
        <v>#N/A</v>
      </c>
    </row>
    <row r="112" spans="1:43" ht="49.9" customHeight="1">
      <c r="A112" s="1030">
        <f t="shared" si="3"/>
        <v>73</v>
      </c>
      <c r="B112" s="662"/>
      <c r="C112" s="663"/>
      <c r="D112" s="663"/>
      <c r="E112" s="663"/>
      <c r="F112" s="663"/>
      <c r="G112" s="663"/>
      <c r="H112" s="663"/>
      <c r="I112" s="663"/>
      <c r="J112" s="663"/>
      <c r="K112" s="663"/>
      <c r="L112" s="661"/>
      <c r="M112" s="661"/>
      <c r="N112" s="661"/>
      <c r="O112" s="661"/>
      <c r="P112" s="661"/>
      <c r="Q112" s="650"/>
      <c r="R112" s="650"/>
      <c r="S112" s="650"/>
      <c r="T112" s="650"/>
      <c r="U112" s="650"/>
      <c r="V112" s="476"/>
      <c r="W112" s="649"/>
      <c r="X112" s="649"/>
      <c r="Y112" s="649"/>
      <c r="Z112" s="649"/>
      <c r="AA112" s="649"/>
      <c r="AB112" s="649"/>
      <c r="AC112" s="236" t="str">
        <f>IFERROR(VLOOKUP(Z112,【参考】数式用!$A$4:$B$57,2,FALSE),"")</f>
        <v/>
      </c>
      <c r="AD112" s="137"/>
      <c r="AE112" s="138"/>
      <c r="AF112" s="237">
        <f t="shared" si="4"/>
        <v>0</v>
      </c>
      <c r="AG112" s="66" t="str">
        <f>IF(B112="","",IF(AQ112="総合事業","数式を削除して手入力",IFERROR(INDEX(【参考】数式用!$AD$3:$AF$452,MATCH(Q112&amp;V112,【参考】数式用!$AC$3:$AC$452,0),MATCH(VLOOKUP(Z112,【参考】数式用!$AG$2:$AH$56,2,FALSE),【参考】数式用!$AD$2:$AF$2,0)),10)))</f>
        <v/>
      </c>
      <c r="AP112" s="502" t="str">
        <f>IF($L$16="", "", VLOOKUP(Z112,【参考】数式用!$A$2:$O$57,14,FALSE))</f>
        <v/>
      </c>
      <c r="AQ112" s="282" t="e">
        <f>VLOOKUP(Z112,【参考】数式用!$A$2:$O$57,15,FALSE)</f>
        <v>#N/A</v>
      </c>
    </row>
    <row r="113" spans="1:43" ht="49.9" customHeight="1">
      <c r="A113" s="1030">
        <f t="shared" si="3"/>
        <v>74</v>
      </c>
      <c r="B113" s="662"/>
      <c r="C113" s="663"/>
      <c r="D113" s="663"/>
      <c r="E113" s="663"/>
      <c r="F113" s="663"/>
      <c r="G113" s="663"/>
      <c r="H113" s="663"/>
      <c r="I113" s="663"/>
      <c r="J113" s="663"/>
      <c r="K113" s="663"/>
      <c r="L113" s="661"/>
      <c r="M113" s="661"/>
      <c r="N113" s="661"/>
      <c r="O113" s="661"/>
      <c r="P113" s="661"/>
      <c r="Q113" s="650"/>
      <c r="R113" s="650"/>
      <c r="S113" s="650"/>
      <c r="T113" s="650"/>
      <c r="U113" s="650"/>
      <c r="V113" s="476"/>
      <c r="W113" s="649"/>
      <c r="X113" s="649"/>
      <c r="Y113" s="649"/>
      <c r="Z113" s="649"/>
      <c r="AA113" s="649"/>
      <c r="AB113" s="649"/>
      <c r="AC113" s="236" t="str">
        <f>IFERROR(VLOOKUP(Z113,【参考】数式用!$A$4:$B$57,2,FALSE),"")</f>
        <v/>
      </c>
      <c r="AD113" s="137"/>
      <c r="AE113" s="138"/>
      <c r="AF113" s="237">
        <f t="shared" si="4"/>
        <v>0</v>
      </c>
      <c r="AG113" s="66" t="str">
        <f>IF(B113="","",IF(AQ113="総合事業","数式を削除して手入力",IFERROR(INDEX(【参考】数式用!$AD$3:$AF$452,MATCH(Q113&amp;V113,【参考】数式用!$AC$3:$AC$452,0),MATCH(VLOOKUP(Z113,【参考】数式用!$AG$2:$AH$56,2,FALSE),【参考】数式用!$AD$2:$AF$2,0)),10)))</f>
        <v/>
      </c>
      <c r="AP113" s="502" t="str">
        <f>IF($L$16="", "", VLOOKUP(Z113,【参考】数式用!$A$2:$O$57,14,FALSE))</f>
        <v/>
      </c>
      <c r="AQ113" s="282" t="e">
        <f>VLOOKUP(Z113,【参考】数式用!$A$2:$O$57,15,FALSE)</f>
        <v>#N/A</v>
      </c>
    </row>
    <row r="114" spans="1:43" ht="49.9" customHeight="1">
      <c r="A114" s="1030">
        <f t="shared" si="3"/>
        <v>75</v>
      </c>
      <c r="B114" s="662"/>
      <c r="C114" s="663"/>
      <c r="D114" s="663"/>
      <c r="E114" s="663"/>
      <c r="F114" s="663"/>
      <c r="G114" s="663"/>
      <c r="H114" s="663"/>
      <c r="I114" s="663"/>
      <c r="J114" s="663"/>
      <c r="K114" s="663"/>
      <c r="L114" s="661"/>
      <c r="M114" s="661"/>
      <c r="N114" s="661"/>
      <c r="O114" s="661"/>
      <c r="P114" s="661"/>
      <c r="Q114" s="650"/>
      <c r="R114" s="650"/>
      <c r="S114" s="650"/>
      <c r="T114" s="650"/>
      <c r="U114" s="650"/>
      <c r="V114" s="476"/>
      <c r="W114" s="649"/>
      <c r="X114" s="649"/>
      <c r="Y114" s="649"/>
      <c r="Z114" s="649"/>
      <c r="AA114" s="649"/>
      <c r="AB114" s="649"/>
      <c r="AC114" s="236" t="str">
        <f>IFERROR(VLOOKUP(Z114,【参考】数式用!$A$4:$B$57,2,FALSE),"")</f>
        <v/>
      </c>
      <c r="AD114" s="137"/>
      <c r="AE114" s="138"/>
      <c r="AF114" s="237">
        <f t="shared" si="4"/>
        <v>0</v>
      </c>
      <c r="AG114" s="66" t="str">
        <f>IF(B114="","",IF(AQ114="総合事業","数式を削除して手入力",IFERROR(INDEX(【参考】数式用!$AD$3:$AF$452,MATCH(Q114&amp;V114,【参考】数式用!$AC$3:$AC$452,0),MATCH(VLOOKUP(Z114,【参考】数式用!$AG$2:$AH$56,2,FALSE),【参考】数式用!$AD$2:$AF$2,0)),10)))</f>
        <v/>
      </c>
      <c r="AP114" s="502" t="str">
        <f>IF($L$16="", "", VLOOKUP(Z114,【参考】数式用!$A$2:$O$57,14,FALSE))</f>
        <v/>
      </c>
      <c r="AQ114" s="282" t="e">
        <f>VLOOKUP(Z114,【参考】数式用!$A$2:$O$57,15,FALSE)</f>
        <v>#N/A</v>
      </c>
    </row>
    <row r="115" spans="1:43" ht="49.9" customHeight="1">
      <c r="A115" s="1030">
        <f t="shared" si="3"/>
        <v>76</v>
      </c>
      <c r="B115" s="662"/>
      <c r="C115" s="663"/>
      <c r="D115" s="663"/>
      <c r="E115" s="663"/>
      <c r="F115" s="663"/>
      <c r="G115" s="663"/>
      <c r="H115" s="663"/>
      <c r="I115" s="663"/>
      <c r="J115" s="663"/>
      <c r="K115" s="663"/>
      <c r="L115" s="661"/>
      <c r="M115" s="661"/>
      <c r="N115" s="661"/>
      <c r="O115" s="661"/>
      <c r="P115" s="661"/>
      <c r="Q115" s="650"/>
      <c r="R115" s="650"/>
      <c r="S115" s="650"/>
      <c r="T115" s="650"/>
      <c r="U115" s="650"/>
      <c r="V115" s="476"/>
      <c r="W115" s="649"/>
      <c r="X115" s="649"/>
      <c r="Y115" s="649"/>
      <c r="Z115" s="649"/>
      <c r="AA115" s="649"/>
      <c r="AB115" s="649"/>
      <c r="AC115" s="236" t="str">
        <f>IFERROR(VLOOKUP(Z115,【参考】数式用!$A$4:$B$57,2,FALSE),"")</f>
        <v/>
      </c>
      <c r="AD115" s="137"/>
      <c r="AE115" s="138"/>
      <c r="AF115" s="237">
        <f t="shared" si="4"/>
        <v>0</v>
      </c>
      <c r="AG115" s="66" t="str">
        <f>IF(B115="","",IF(AQ115="総合事業","数式を削除して手入力",IFERROR(INDEX(【参考】数式用!$AD$3:$AF$452,MATCH(Q115&amp;V115,【参考】数式用!$AC$3:$AC$452,0),MATCH(VLOOKUP(Z115,【参考】数式用!$AG$2:$AH$56,2,FALSE),【参考】数式用!$AD$2:$AF$2,0)),10)))</f>
        <v/>
      </c>
      <c r="AP115" s="502" t="str">
        <f>IF($L$16="", "", VLOOKUP(Z115,【参考】数式用!$A$2:$O$57,14,FALSE))</f>
        <v/>
      </c>
      <c r="AQ115" s="282" t="e">
        <f>VLOOKUP(Z115,【参考】数式用!$A$2:$O$57,15,FALSE)</f>
        <v>#N/A</v>
      </c>
    </row>
    <row r="116" spans="1:43" ht="49.9" customHeight="1">
      <c r="A116" s="1030">
        <f t="shared" si="3"/>
        <v>77</v>
      </c>
      <c r="B116" s="662"/>
      <c r="C116" s="663"/>
      <c r="D116" s="663"/>
      <c r="E116" s="663"/>
      <c r="F116" s="663"/>
      <c r="G116" s="663"/>
      <c r="H116" s="663"/>
      <c r="I116" s="663"/>
      <c r="J116" s="663"/>
      <c r="K116" s="663"/>
      <c r="L116" s="661"/>
      <c r="M116" s="661"/>
      <c r="N116" s="661"/>
      <c r="O116" s="661"/>
      <c r="P116" s="661"/>
      <c r="Q116" s="650"/>
      <c r="R116" s="650"/>
      <c r="S116" s="650"/>
      <c r="T116" s="650"/>
      <c r="U116" s="650"/>
      <c r="V116" s="476"/>
      <c r="W116" s="649"/>
      <c r="X116" s="649"/>
      <c r="Y116" s="649"/>
      <c r="Z116" s="649"/>
      <c r="AA116" s="649"/>
      <c r="AB116" s="649"/>
      <c r="AC116" s="236" t="str">
        <f>IFERROR(VLOOKUP(Z116,【参考】数式用!$A$4:$B$57,2,FALSE),"")</f>
        <v/>
      </c>
      <c r="AD116" s="137"/>
      <c r="AE116" s="138"/>
      <c r="AF116" s="237">
        <f t="shared" si="4"/>
        <v>0</v>
      </c>
      <c r="AG116" s="66" t="str">
        <f>IF(B116="","",IF(AQ116="総合事業","数式を削除して手入力",IFERROR(INDEX(【参考】数式用!$AD$3:$AF$452,MATCH(Q116&amp;V116,【参考】数式用!$AC$3:$AC$452,0),MATCH(VLOOKUP(Z116,【参考】数式用!$AG$2:$AH$56,2,FALSE),【参考】数式用!$AD$2:$AF$2,0)),10)))</f>
        <v/>
      </c>
      <c r="AP116" s="502" t="str">
        <f>IF($L$16="", "", VLOOKUP(Z116,【参考】数式用!$A$2:$O$57,14,FALSE))</f>
        <v/>
      </c>
      <c r="AQ116" s="282" t="e">
        <f>VLOOKUP(Z116,【参考】数式用!$A$2:$O$57,15,FALSE)</f>
        <v>#N/A</v>
      </c>
    </row>
    <row r="117" spans="1:43" ht="49.9" customHeight="1">
      <c r="A117" s="1030">
        <f t="shared" si="3"/>
        <v>78</v>
      </c>
      <c r="B117" s="662"/>
      <c r="C117" s="663"/>
      <c r="D117" s="663"/>
      <c r="E117" s="663"/>
      <c r="F117" s="663"/>
      <c r="G117" s="663"/>
      <c r="H117" s="663"/>
      <c r="I117" s="663"/>
      <c r="J117" s="663"/>
      <c r="K117" s="663"/>
      <c r="L117" s="661"/>
      <c r="M117" s="661"/>
      <c r="N117" s="661"/>
      <c r="O117" s="661"/>
      <c r="P117" s="661"/>
      <c r="Q117" s="650"/>
      <c r="R117" s="650"/>
      <c r="S117" s="650"/>
      <c r="T117" s="650"/>
      <c r="U117" s="650"/>
      <c r="V117" s="476"/>
      <c r="W117" s="649"/>
      <c r="X117" s="649"/>
      <c r="Y117" s="649"/>
      <c r="Z117" s="649"/>
      <c r="AA117" s="649"/>
      <c r="AB117" s="649"/>
      <c r="AC117" s="236" t="str">
        <f>IFERROR(VLOOKUP(Z117,【参考】数式用!$A$4:$B$57,2,FALSE),"")</f>
        <v/>
      </c>
      <c r="AD117" s="137"/>
      <c r="AE117" s="138"/>
      <c r="AF117" s="237">
        <f t="shared" si="4"/>
        <v>0</v>
      </c>
      <c r="AG117" s="66" t="str">
        <f>IF(B117="","",IF(AQ117="総合事業","数式を削除して手入力",IFERROR(INDEX(【参考】数式用!$AD$3:$AF$452,MATCH(Q117&amp;V117,【参考】数式用!$AC$3:$AC$452,0),MATCH(VLOOKUP(Z117,【参考】数式用!$AG$2:$AH$56,2,FALSE),【参考】数式用!$AD$2:$AF$2,0)),10)))</f>
        <v/>
      </c>
      <c r="AP117" s="502" t="str">
        <f>IF($L$16="", "", VLOOKUP(Z117,【参考】数式用!$A$2:$O$57,14,FALSE))</f>
        <v/>
      </c>
      <c r="AQ117" s="282" t="e">
        <f>VLOOKUP(Z117,【参考】数式用!$A$2:$O$57,15,FALSE)</f>
        <v>#N/A</v>
      </c>
    </row>
    <row r="118" spans="1:43" ht="49.9" customHeight="1">
      <c r="A118" s="1030">
        <f t="shared" si="3"/>
        <v>79</v>
      </c>
      <c r="B118" s="662"/>
      <c r="C118" s="663"/>
      <c r="D118" s="663"/>
      <c r="E118" s="663"/>
      <c r="F118" s="663"/>
      <c r="G118" s="663"/>
      <c r="H118" s="663"/>
      <c r="I118" s="663"/>
      <c r="J118" s="663"/>
      <c r="K118" s="663"/>
      <c r="L118" s="661"/>
      <c r="M118" s="661"/>
      <c r="N118" s="661"/>
      <c r="O118" s="661"/>
      <c r="P118" s="661"/>
      <c r="Q118" s="650"/>
      <c r="R118" s="650"/>
      <c r="S118" s="650"/>
      <c r="T118" s="650"/>
      <c r="U118" s="650"/>
      <c r="V118" s="476"/>
      <c r="W118" s="649"/>
      <c r="X118" s="649"/>
      <c r="Y118" s="649"/>
      <c r="Z118" s="649"/>
      <c r="AA118" s="649"/>
      <c r="AB118" s="649"/>
      <c r="AC118" s="236" t="str">
        <f>IFERROR(VLOOKUP(Z118,【参考】数式用!$A$4:$B$57,2,FALSE),"")</f>
        <v/>
      </c>
      <c r="AD118" s="137"/>
      <c r="AE118" s="138"/>
      <c r="AF118" s="237">
        <f t="shared" si="4"/>
        <v>0</v>
      </c>
      <c r="AG118" s="66" t="str">
        <f>IF(B118="","",IF(AQ118="総合事業","数式を削除して手入力",IFERROR(INDEX(【参考】数式用!$AD$3:$AF$452,MATCH(Q118&amp;V118,【参考】数式用!$AC$3:$AC$452,0),MATCH(VLOOKUP(Z118,【参考】数式用!$AG$2:$AH$56,2,FALSE),【参考】数式用!$AD$2:$AF$2,0)),10)))</f>
        <v/>
      </c>
      <c r="AP118" s="502" t="str">
        <f>IF($L$16="", "", VLOOKUP(Z118,【参考】数式用!$A$2:$O$57,14,FALSE))</f>
        <v/>
      </c>
      <c r="AQ118" s="282" t="e">
        <f>VLOOKUP(Z118,【参考】数式用!$A$2:$O$57,15,FALSE)</f>
        <v>#N/A</v>
      </c>
    </row>
    <row r="119" spans="1:43" ht="49.9" customHeight="1">
      <c r="A119" s="1030">
        <f t="shared" si="3"/>
        <v>80</v>
      </c>
      <c r="B119" s="662"/>
      <c r="C119" s="663"/>
      <c r="D119" s="663"/>
      <c r="E119" s="663"/>
      <c r="F119" s="663"/>
      <c r="G119" s="663"/>
      <c r="H119" s="663"/>
      <c r="I119" s="663"/>
      <c r="J119" s="663"/>
      <c r="K119" s="663"/>
      <c r="L119" s="661"/>
      <c r="M119" s="661"/>
      <c r="N119" s="661"/>
      <c r="O119" s="661"/>
      <c r="P119" s="661"/>
      <c r="Q119" s="650"/>
      <c r="R119" s="650"/>
      <c r="S119" s="650"/>
      <c r="T119" s="650"/>
      <c r="U119" s="650"/>
      <c r="V119" s="476"/>
      <c r="W119" s="649"/>
      <c r="X119" s="649"/>
      <c r="Y119" s="649"/>
      <c r="Z119" s="649"/>
      <c r="AA119" s="649"/>
      <c r="AB119" s="649"/>
      <c r="AC119" s="236" t="str">
        <f>IFERROR(VLOOKUP(Z119,【参考】数式用!$A$4:$B$57,2,FALSE),"")</f>
        <v/>
      </c>
      <c r="AD119" s="137"/>
      <c r="AE119" s="138"/>
      <c r="AF119" s="237">
        <f t="shared" si="4"/>
        <v>0</v>
      </c>
      <c r="AG119" s="66" t="str">
        <f>IF(B119="","",IF(AQ119="総合事業","数式を削除して手入力",IFERROR(INDEX(【参考】数式用!$AD$3:$AF$452,MATCH(Q119&amp;V119,【参考】数式用!$AC$3:$AC$452,0),MATCH(VLOOKUP(Z119,【参考】数式用!$AG$2:$AH$56,2,FALSE),【参考】数式用!$AD$2:$AF$2,0)),10)))</f>
        <v/>
      </c>
      <c r="AP119" s="502" t="str">
        <f>IF($L$16="", "", VLOOKUP(Z119,【参考】数式用!$A$2:$O$57,14,FALSE))</f>
        <v/>
      </c>
      <c r="AQ119" s="282" t="e">
        <f>VLOOKUP(Z119,【参考】数式用!$A$2:$O$57,15,FALSE)</f>
        <v>#N/A</v>
      </c>
    </row>
    <row r="120" spans="1:43" ht="49.9" customHeight="1">
      <c r="A120" s="1030">
        <f t="shared" si="3"/>
        <v>81</v>
      </c>
      <c r="B120" s="662"/>
      <c r="C120" s="663"/>
      <c r="D120" s="663"/>
      <c r="E120" s="663"/>
      <c r="F120" s="663"/>
      <c r="G120" s="663"/>
      <c r="H120" s="663"/>
      <c r="I120" s="663"/>
      <c r="J120" s="663"/>
      <c r="K120" s="663"/>
      <c r="L120" s="661"/>
      <c r="M120" s="661"/>
      <c r="N120" s="661"/>
      <c r="O120" s="661"/>
      <c r="P120" s="661"/>
      <c r="Q120" s="650"/>
      <c r="R120" s="650"/>
      <c r="S120" s="650"/>
      <c r="T120" s="650"/>
      <c r="U120" s="650"/>
      <c r="V120" s="476"/>
      <c r="W120" s="649"/>
      <c r="X120" s="649"/>
      <c r="Y120" s="649"/>
      <c r="Z120" s="649"/>
      <c r="AA120" s="649"/>
      <c r="AB120" s="649"/>
      <c r="AC120" s="236" t="str">
        <f>IFERROR(VLOOKUP(Z120,【参考】数式用!$A$4:$B$57,2,FALSE),"")</f>
        <v/>
      </c>
      <c r="AD120" s="137"/>
      <c r="AE120" s="138"/>
      <c r="AF120" s="237">
        <f t="shared" si="4"/>
        <v>0</v>
      </c>
      <c r="AG120" s="66" t="str">
        <f>IF(B120="","",IF(AQ120="総合事業","数式を削除して手入力",IFERROR(INDEX(【参考】数式用!$AD$3:$AF$452,MATCH(Q120&amp;V120,【参考】数式用!$AC$3:$AC$452,0),MATCH(VLOOKUP(Z120,【参考】数式用!$AG$2:$AH$56,2,FALSE),【参考】数式用!$AD$2:$AF$2,0)),10)))</f>
        <v/>
      </c>
      <c r="AP120" s="502" t="str">
        <f>IF($L$16="", "", VLOOKUP(Z120,【参考】数式用!$A$2:$O$57,14,FALSE))</f>
        <v/>
      </c>
      <c r="AQ120" s="282" t="e">
        <f>VLOOKUP(Z120,【参考】数式用!$A$2:$O$57,15,FALSE)</f>
        <v>#N/A</v>
      </c>
    </row>
    <row r="121" spans="1:43" ht="49.9" customHeight="1">
      <c r="A121" s="1030">
        <f t="shared" si="3"/>
        <v>82</v>
      </c>
      <c r="B121" s="662"/>
      <c r="C121" s="663"/>
      <c r="D121" s="663"/>
      <c r="E121" s="663"/>
      <c r="F121" s="663"/>
      <c r="G121" s="663"/>
      <c r="H121" s="663"/>
      <c r="I121" s="663"/>
      <c r="J121" s="663"/>
      <c r="K121" s="663"/>
      <c r="L121" s="661"/>
      <c r="M121" s="661"/>
      <c r="N121" s="661"/>
      <c r="O121" s="661"/>
      <c r="P121" s="661"/>
      <c r="Q121" s="650"/>
      <c r="R121" s="650"/>
      <c r="S121" s="650"/>
      <c r="T121" s="650"/>
      <c r="U121" s="650"/>
      <c r="V121" s="476"/>
      <c r="W121" s="649"/>
      <c r="X121" s="649"/>
      <c r="Y121" s="649"/>
      <c r="Z121" s="649"/>
      <c r="AA121" s="649"/>
      <c r="AB121" s="649"/>
      <c r="AC121" s="236" t="str">
        <f>IFERROR(VLOOKUP(Z121,【参考】数式用!$A$4:$B$57,2,FALSE),"")</f>
        <v/>
      </c>
      <c r="AD121" s="137"/>
      <c r="AE121" s="138"/>
      <c r="AF121" s="237">
        <f t="shared" si="4"/>
        <v>0</v>
      </c>
      <c r="AG121" s="66" t="str">
        <f>IF(B121="","",IF(AQ121="総合事業","数式を削除して手入力",IFERROR(INDEX(【参考】数式用!$AD$3:$AF$452,MATCH(Q121&amp;V121,【参考】数式用!$AC$3:$AC$452,0),MATCH(VLOOKUP(Z121,【参考】数式用!$AG$2:$AH$56,2,FALSE),【参考】数式用!$AD$2:$AF$2,0)),10)))</f>
        <v/>
      </c>
      <c r="AP121" s="502" t="str">
        <f>IF($L$16="", "", VLOOKUP(Z121,【参考】数式用!$A$2:$O$57,14,FALSE))</f>
        <v/>
      </c>
      <c r="AQ121" s="282" t="e">
        <f>VLOOKUP(Z121,【参考】数式用!$A$2:$O$57,15,FALSE)</f>
        <v>#N/A</v>
      </c>
    </row>
    <row r="122" spans="1:43" ht="49.9" customHeight="1">
      <c r="A122" s="1030">
        <f t="shared" si="3"/>
        <v>83</v>
      </c>
      <c r="B122" s="662"/>
      <c r="C122" s="663"/>
      <c r="D122" s="663"/>
      <c r="E122" s="663"/>
      <c r="F122" s="663"/>
      <c r="G122" s="663"/>
      <c r="H122" s="663"/>
      <c r="I122" s="663"/>
      <c r="J122" s="663"/>
      <c r="K122" s="663"/>
      <c r="L122" s="661"/>
      <c r="M122" s="661"/>
      <c r="N122" s="661"/>
      <c r="O122" s="661"/>
      <c r="P122" s="661"/>
      <c r="Q122" s="650"/>
      <c r="R122" s="650"/>
      <c r="S122" s="650"/>
      <c r="T122" s="650"/>
      <c r="U122" s="650"/>
      <c r="V122" s="476"/>
      <c r="W122" s="649"/>
      <c r="X122" s="649"/>
      <c r="Y122" s="649"/>
      <c r="Z122" s="649"/>
      <c r="AA122" s="649"/>
      <c r="AB122" s="649"/>
      <c r="AC122" s="236" t="str">
        <f>IFERROR(VLOOKUP(Z122,【参考】数式用!$A$4:$B$57,2,FALSE),"")</f>
        <v/>
      </c>
      <c r="AD122" s="137"/>
      <c r="AE122" s="138"/>
      <c r="AF122" s="237">
        <f t="shared" si="4"/>
        <v>0</v>
      </c>
      <c r="AG122" s="66" t="str">
        <f>IF(B122="","",IF(AQ122="総合事業","数式を削除して手入力",IFERROR(INDEX(【参考】数式用!$AD$3:$AF$452,MATCH(Q122&amp;V122,【参考】数式用!$AC$3:$AC$452,0),MATCH(VLOOKUP(Z122,【参考】数式用!$AG$2:$AH$56,2,FALSE),【参考】数式用!$AD$2:$AF$2,0)),10)))</f>
        <v/>
      </c>
      <c r="AP122" s="502" t="str">
        <f>IF($L$16="", "", VLOOKUP(Z122,【参考】数式用!$A$2:$O$57,14,FALSE))</f>
        <v/>
      </c>
      <c r="AQ122" s="282" t="e">
        <f>VLOOKUP(Z122,【参考】数式用!$A$2:$O$57,15,FALSE)</f>
        <v>#N/A</v>
      </c>
    </row>
    <row r="123" spans="1:43" ht="49.9" customHeight="1">
      <c r="A123" s="1030">
        <f t="shared" si="3"/>
        <v>84</v>
      </c>
      <c r="B123" s="662"/>
      <c r="C123" s="663"/>
      <c r="D123" s="663"/>
      <c r="E123" s="663"/>
      <c r="F123" s="663"/>
      <c r="G123" s="663"/>
      <c r="H123" s="663"/>
      <c r="I123" s="663"/>
      <c r="J123" s="663"/>
      <c r="K123" s="663"/>
      <c r="L123" s="661"/>
      <c r="M123" s="661"/>
      <c r="N123" s="661"/>
      <c r="O123" s="661"/>
      <c r="P123" s="661"/>
      <c r="Q123" s="650"/>
      <c r="R123" s="650"/>
      <c r="S123" s="650"/>
      <c r="T123" s="650"/>
      <c r="U123" s="650"/>
      <c r="V123" s="476"/>
      <c r="W123" s="649"/>
      <c r="X123" s="649"/>
      <c r="Y123" s="649"/>
      <c r="Z123" s="649"/>
      <c r="AA123" s="649"/>
      <c r="AB123" s="649"/>
      <c r="AC123" s="236" t="str">
        <f>IFERROR(VLOOKUP(Z123,【参考】数式用!$A$4:$B$57,2,FALSE),"")</f>
        <v/>
      </c>
      <c r="AD123" s="137"/>
      <c r="AE123" s="138"/>
      <c r="AF123" s="237">
        <f t="shared" si="4"/>
        <v>0</v>
      </c>
      <c r="AG123" s="66" t="str">
        <f>IF(B123="","",IF(AQ123="総合事業","数式を削除して手入力",IFERROR(INDEX(【参考】数式用!$AD$3:$AF$452,MATCH(Q123&amp;V123,【参考】数式用!$AC$3:$AC$452,0),MATCH(VLOOKUP(Z123,【参考】数式用!$AG$2:$AH$56,2,FALSE),【参考】数式用!$AD$2:$AF$2,0)),10)))</f>
        <v/>
      </c>
      <c r="AP123" s="502" t="str">
        <f>IF($L$16="", "", VLOOKUP(Z123,【参考】数式用!$A$2:$O$57,14,FALSE))</f>
        <v/>
      </c>
      <c r="AQ123" s="282" t="e">
        <f>VLOOKUP(Z123,【参考】数式用!$A$2:$O$57,15,FALSE)</f>
        <v>#N/A</v>
      </c>
    </row>
    <row r="124" spans="1:43" ht="49.9" customHeight="1">
      <c r="A124" s="1030">
        <f t="shared" si="3"/>
        <v>85</v>
      </c>
      <c r="B124" s="662"/>
      <c r="C124" s="663"/>
      <c r="D124" s="663"/>
      <c r="E124" s="663"/>
      <c r="F124" s="663"/>
      <c r="G124" s="663"/>
      <c r="H124" s="663"/>
      <c r="I124" s="663"/>
      <c r="J124" s="663"/>
      <c r="K124" s="663"/>
      <c r="L124" s="661"/>
      <c r="M124" s="661"/>
      <c r="N124" s="661"/>
      <c r="O124" s="661"/>
      <c r="P124" s="661"/>
      <c r="Q124" s="650"/>
      <c r="R124" s="650"/>
      <c r="S124" s="650"/>
      <c r="T124" s="650"/>
      <c r="U124" s="650"/>
      <c r="V124" s="476"/>
      <c r="W124" s="649"/>
      <c r="X124" s="649"/>
      <c r="Y124" s="649"/>
      <c r="Z124" s="649"/>
      <c r="AA124" s="649"/>
      <c r="AB124" s="649"/>
      <c r="AC124" s="236" t="str">
        <f>IFERROR(VLOOKUP(Z124,【参考】数式用!$A$4:$B$57,2,FALSE),"")</f>
        <v/>
      </c>
      <c r="AD124" s="137"/>
      <c r="AE124" s="138"/>
      <c r="AF124" s="237">
        <f t="shared" si="4"/>
        <v>0</v>
      </c>
      <c r="AG124" s="66" t="str">
        <f>IF(B124="","",IF(AQ124="総合事業","数式を削除して手入力",IFERROR(INDEX(【参考】数式用!$AD$3:$AF$452,MATCH(Q124&amp;V124,【参考】数式用!$AC$3:$AC$452,0),MATCH(VLOOKUP(Z124,【参考】数式用!$AG$2:$AH$56,2,FALSE),【参考】数式用!$AD$2:$AF$2,0)),10)))</f>
        <v/>
      </c>
      <c r="AP124" s="502" t="str">
        <f>IF($L$16="", "", VLOOKUP(Z124,【参考】数式用!$A$2:$O$57,14,FALSE))</f>
        <v/>
      </c>
      <c r="AQ124" s="282" t="e">
        <f>VLOOKUP(Z124,【参考】数式用!$A$2:$O$57,15,FALSE)</f>
        <v>#N/A</v>
      </c>
    </row>
    <row r="125" spans="1:43" ht="49.9" customHeight="1">
      <c r="A125" s="1030">
        <f t="shared" si="3"/>
        <v>86</v>
      </c>
      <c r="B125" s="662"/>
      <c r="C125" s="663"/>
      <c r="D125" s="663"/>
      <c r="E125" s="663"/>
      <c r="F125" s="663"/>
      <c r="G125" s="663"/>
      <c r="H125" s="663"/>
      <c r="I125" s="663"/>
      <c r="J125" s="663"/>
      <c r="K125" s="663"/>
      <c r="L125" s="661"/>
      <c r="M125" s="661"/>
      <c r="N125" s="661"/>
      <c r="O125" s="661"/>
      <c r="P125" s="661"/>
      <c r="Q125" s="650"/>
      <c r="R125" s="650"/>
      <c r="S125" s="650"/>
      <c r="T125" s="650"/>
      <c r="U125" s="650"/>
      <c r="V125" s="476"/>
      <c r="W125" s="649"/>
      <c r="X125" s="649"/>
      <c r="Y125" s="649"/>
      <c r="Z125" s="649"/>
      <c r="AA125" s="649"/>
      <c r="AB125" s="649"/>
      <c r="AC125" s="236" t="str">
        <f>IFERROR(VLOOKUP(Z125,【参考】数式用!$A$4:$B$57,2,FALSE),"")</f>
        <v/>
      </c>
      <c r="AD125" s="137"/>
      <c r="AE125" s="138"/>
      <c r="AF125" s="237">
        <f t="shared" si="4"/>
        <v>0</v>
      </c>
      <c r="AG125" s="66" t="str">
        <f>IF(B125="","",IF(AQ125="総合事業","数式を削除して手入力",IFERROR(INDEX(【参考】数式用!$AD$3:$AF$452,MATCH(Q125&amp;V125,【参考】数式用!$AC$3:$AC$452,0),MATCH(VLOOKUP(Z125,【参考】数式用!$AG$2:$AH$56,2,FALSE),【参考】数式用!$AD$2:$AF$2,0)),10)))</f>
        <v/>
      </c>
      <c r="AP125" s="502" t="str">
        <f>IF($L$16="", "", VLOOKUP(Z125,【参考】数式用!$A$2:$O$57,14,FALSE))</f>
        <v/>
      </c>
      <c r="AQ125" s="282" t="e">
        <f>VLOOKUP(Z125,【参考】数式用!$A$2:$O$57,15,FALSE)</f>
        <v>#N/A</v>
      </c>
    </row>
    <row r="126" spans="1:43" ht="49.9" customHeight="1">
      <c r="A126" s="1030">
        <f t="shared" si="3"/>
        <v>87</v>
      </c>
      <c r="B126" s="662"/>
      <c r="C126" s="663"/>
      <c r="D126" s="663"/>
      <c r="E126" s="663"/>
      <c r="F126" s="663"/>
      <c r="G126" s="663"/>
      <c r="H126" s="663"/>
      <c r="I126" s="663"/>
      <c r="J126" s="663"/>
      <c r="K126" s="663"/>
      <c r="L126" s="661"/>
      <c r="M126" s="661"/>
      <c r="N126" s="661"/>
      <c r="O126" s="661"/>
      <c r="P126" s="661"/>
      <c r="Q126" s="650"/>
      <c r="R126" s="650"/>
      <c r="S126" s="650"/>
      <c r="T126" s="650"/>
      <c r="U126" s="650"/>
      <c r="V126" s="476"/>
      <c r="W126" s="649"/>
      <c r="X126" s="649"/>
      <c r="Y126" s="649"/>
      <c r="Z126" s="649"/>
      <c r="AA126" s="649"/>
      <c r="AB126" s="649"/>
      <c r="AC126" s="236" t="str">
        <f>IFERROR(VLOOKUP(Z126,【参考】数式用!$A$4:$B$57,2,FALSE),"")</f>
        <v/>
      </c>
      <c r="AD126" s="137"/>
      <c r="AE126" s="138"/>
      <c r="AF126" s="237">
        <f t="shared" si="4"/>
        <v>0</v>
      </c>
      <c r="AG126" s="66" t="str">
        <f>IF(B126="","",IF(AQ126="総合事業","数式を削除して手入力",IFERROR(INDEX(【参考】数式用!$AD$3:$AF$452,MATCH(Q126&amp;V126,【参考】数式用!$AC$3:$AC$452,0),MATCH(VLOOKUP(Z126,【参考】数式用!$AG$2:$AH$56,2,FALSE),【参考】数式用!$AD$2:$AF$2,0)),10)))</f>
        <v/>
      </c>
      <c r="AP126" s="502" t="str">
        <f>IF($L$16="", "", VLOOKUP(Z126,【参考】数式用!$A$2:$O$57,14,FALSE))</f>
        <v/>
      </c>
      <c r="AQ126" s="282" t="e">
        <f>VLOOKUP(Z126,【参考】数式用!$A$2:$O$57,15,FALSE)</f>
        <v>#N/A</v>
      </c>
    </row>
    <row r="127" spans="1:43" ht="49.9" customHeight="1">
      <c r="A127" s="1030">
        <f t="shared" si="3"/>
        <v>88</v>
      </c>
      <c r="B127" s="662"/>
      <c r="C127" s="663"/>
      <c r="D127" s="663"/>
      <c r="E127" s="663"/>
      <c r="F127" s="663"/>
      <c r="G127" s="663"/>
      <c r="H127" s="663"/>
      <c r="I127" s="663"/>
      <c r="J127" s="663"/>
      <c r="K127" s="663"/>
      <c r="L127" s="661"/>
      <c r="M127" s="661"/>
      <c r="N127" s="661"/>
      <c r="O127" s="661"/>
      <c r="P127" s="661"/>
      <c r="Q127" s="650"/>
      <c r="R127" s="650"/>
      <c r="S127" s="650"/>
      <c r="T127" s="650"/>
      <c r="U127" s="650"/>
      <c r="V127" s="476"/>
      <c r="W127" s="649"/>
      <c r="X127" s="649"/>
      <c r="Y127" s="649"/>
      <c r="Z127" s="649"/>
      <c r="AA127" s="649"/>
      <c r="AB127" s="649"/>
      <c r="AC127" s="236" t="str">
        <f>IFERROR(VLOOKUP(Z127,【参考】数式用!$A$4:$B$57,2,FALSE),"")</f>
        <v/>
      </c>
      <c r="AD127" s="137"/>
      <c r="AE127" s="138"/>
      <c r="AF127" s="237">
        <f t="shared" si="4"/>
        <v>0</v>
      </c>
      <c r="AG127" s="66" t="str">
        <f>IF(B127="","",IF(AQ127="総合事業","数式を削除して手入力",IFERROR(INDEX(【参考】数式用!$AD$3:$AF$452,MATCH(Q127&amp;V127,【参考】数式用!$AC$3:$AC$452,0),MATCH(VLOOKUP(Z127,【参考】数式用!$AG$2:$AH$56,2,FALSE),【参考】数式用!$AD$2:$AF$2,0)),10)))</f>
        <v/>
      </c>
      <c r="AP127" s="502" t="str">
        <f>IF($L$16="", "", VLOOKUP(Z127,【参考】数式用!$A$2:$O$57,14,FALSE))</f>
        <v/>
      </c>
      <c r="AQ127" s="282" t="e">
        <f>VLOOKUP(Z127,【参考】数式用!$A$2:$O$57,15,FALSE)</f>
        <v>#N/A</v>
      </c>
    </row>
    <row r="128" spans="1:43" ht="49.9" customHeight="1">
      <c r="A128" s="1030">
        <f t="shared" si="3"/>
        <v>89</v>
      </c>
      <c r="B128" s="662"/>
      <c r="C128" s="663"/>
      <c r="D128" s="663"/>
      <c r="E128" s="663"/>
      <c r="F128" s="663"/>
      <c r="G128" s="663"/>
      <c r="H128" s="663"/>
      <c r="I128" s="663"/>
      <c r="J128" s="663"/>
      <c r="K128" s="663"/>
      <c r="L128" s="661"/>
      <c r="M128" s="661"/>
      <c r="N128" s="661"/>
      <c r="O128" s="661"/>
      <c r="P128" s="661"/>
      <c r="Q128" s="650"/>
      <c r="R128" s="650"/>
      <c r="S128" s="650"/>
      <c r="T128" s="650"/>
      <c r="U128" s="650"/>
      <c r="V128" s="476"/>
      <c r="W128" s="649"/>
      <c r="X128" s="649"/>
      <c r="Y128" s="649"/>
      <c r="Z128" s="649"/>
      <c r="AA128" s="649"/>
      <c r="AB128" s="649"/>
      <c r="AC128" s="236" t="str">
        <f>IFERROR(VLOOKUP(Z128,【参考】数式用!$A$4:$B$57,2,FALSE),"")</f>
        <v/>
      </c>
      <c r="AD128" s="137"/>
      <c r="AE128" s="138"/>
      <c r="AF128" s="237">
        <f t="shared" si="4"/>
        <v>0</v>
      </c>
      <c r="AG128" s="66" t="str">
        <f>IF(B128="","",IF(AQ128="総合事業","数式を削除して手入力",IFERROR(INDEX(【参考】数式用!$AD$3:$AF$452,MATCH(Q128&amp;V128,【参考】数式用!$AC$3:$AC$452,0),MATCH(VLOOKUP(Z128,【参考】数式用!$AG$2:$AH$56,2,FALSE),【参考】数式用!$AD$2:$AF$2,0)),10)))</f>
        <v/>
      </c>
      <c r="AP128" s="502" t="str">
        <f>IF($L$16="", "", VLOOKUP(Z128,【参考】数式用!$A$2:$O$57,14,FALSE))</f>
        <v/>
      </c>
      <c r="AQ128" s="282" t="e">
        <f>VLOOKUP(Z128,【参考】数式用!$A$2:$O$57,15,FALSE)</f>
        <v>#N/A</v>
      </c>
    </row>
    <row r="129" spans="1:43" ht="49.9" customHeight="1">
      <c r="A129" s="1030">
        <f t="shared" si="3"/>
        <v>90</v>
      </c>
      <c r="B129" s="662"/>
      <c r="C129" s="663"/>
      <c r="D129" s="663"/>
      <c r="E129" s="663"/>
      <c r="F129" s="663"/>
      <c r="G129" s="663"/>
      <c r="H129" s="663"/>
      <c r="I129" s="663"/>
      <c r="J129" s="663"/>
      <c r="K129" s="663"/>
      <c r="L129" s="661"/>
      <c r="M129" s="661"/>
      <c r="N129" s="661"/>
      <c r="O129" s="661"/>
      <c r="P129" s="661"/>
      <c r="Q129" s="650"/>
      <c r="R129" s="650"/>
      <c r="S129" s="650"/>
      <c r="T129" s="650"/>
      <c r="U129" s="650"/>
      <c r="V129" s="476"/>
      <c r="W129" s="649"/>
      <c r="X129" s="649"/>
      <c r="Y129" s="649"/>
      <c r="Z129" s="649"/>
      <c r="AA129" s="649"/>
      <c r="AB129" s="649"/>
      <c r="AC129" s="236" t="str">
        <f>IFERROR(VLOOKUP(Z129,【参考】数式用!$A$4:$B$57,2,FALSE),"")</f>
        <v/>
      </c>
      <c r="AD129" s="137"/>
      <c r="AE129" s="138"/>
      <c r="AF129" s="237">
        <f t="shared" si="4"/>
        <v>0</v>
      </c>
      <c r="AG129" s="66" t="str">
        <f>IF(B129="","",IF(AQ129="総合事業","数式を削除して手入力",IFERROR(INDEX(【参考】数式用!$AD$3:$AF$452,MATCH(Q129&amp;V129,【参考】数式用!$AC$3:$AC$452,0),MATCH(VLOOKUP(Z129,【参考】数式用!$AG$2:$AH$56,2,FALSE),【参考】数式用!$AD$2:$AF$2,0)),10)))</f>
        <v/>
      </c>
      <c r="AP129" s="502" t="str">
        <f>IF($L$16="", "", VLOOKUP(Z129,【参考】数式用!$A$2:$O$57,14,FALSE))</f>
        <v/>
      </c>
      <c r="AQ129" s="282" t="e">
        <f>VLOOKUP(Z129,【参考】数式用!$A$2:$O$57,15,FALSE)</f>
        <v>#N/A</v>
      </c>
    </row>
    <row r="130" spans="1:43" ht="49.9" customHeight="1">
      <c r="A130" s="1030">
        <f t="shared" si="3"/>
        <v>91</v>
      </c>
      <c r="B130" s="662"/>
      <c r="C130" s="663"/>
      <c r="D130" s="663"/>
      <c r="E130" s="663"/>
      <c r="F130" s="663"/>
      <c r="G130" s="663"/>
      <c r="H130" s="663"/>
      <c r="I130" s="663"/>
      <c r="J130" s="663"/>
      <c r="K130" s="663"/>
      <c r="L130" s="661"/>
      <c r="M130" s="661"/>
      <c r="N130" s="661"/>
      <c r="O130" s="661"/>
      <c r="P130" s="661"/>
      <c r="Q130" s="650"/>
      <c r="R130" s="650"/>
      <c r="S130" s="650"/>
      <c r="T130" s="650"/>
      <c r="U130" s="650"/>
      <c r="V130" s="476"/>
      <c r="W130" s="649"/>
      <c r="X130" s="649"/>
      <c r="Y130" s="649"/>
      <c r="Z130" s="649"/>
      <c r="AA130" s="649"/>
      <c r="AB130" s="649"/>
      <c r="AC130" s="236" t="str">
        <f>IFERROR(VLOOKUP(Z130,【参考】数式用!$A$4:$B$57,2,FALSE),"")</f>
        <v/>
      </c>
      <c r="AD130" s="137"/>
      <c r="AE130" s="138"/>
      <c r="AF130" s="237">
        <f t="shared" si="4"/>
        <v>0</v>
      </c>
      <c r="AG130" s="66" t="str">
        <f>IF(B130="","",IF(AQ130="総合事業","数式を削除して手入力",IFERROR(INDEX(【参考】数式用!$AD$3:$AF$452,MATCH(Q130&amp;V130,【参考】数式用!$AC$3:$AC$452,0),MATCH(VLOOKUP(Z130,【参考】数式用!$AG$2:$AH$56,2,FALSE),【参考】数式用!$AD$2:$AF$2,0)),10)))</f>
        <v/>
      </c>
      <c r="AP130" s="502" t="str">
        <f>IF($L$16="", "", VLOOKUP(Z130,【参考】数式用!$A$2:$O$57,14,FALSE))</f>
        <v/>
      </c>
      <c r="AQ130" s="282" t="e">
        <f>VLOOKUP(Z130,【参考】数式用!$A$2:$O$57,15,FALSE)</f>
        <v>#N/A</v>
      </c>
    </row>
    <row r="131" spans="1:43" ht="49.9" customHeight="1">
      <c r="A131" s="1030">
        <f t="shared" si="3"/>
        <v>92</v>
      </c>
      <c r="B131" s="662"/>
      <c r="C131" s="663"/>
      <c r="D131" s="663"/>
      <c r="E131" s="663"/>
      <c r="F131" s="663"/>
      <c r="G131" s="663"/>
      <c r="H131" s="663"/>
      <c r="I131" s="663"/>
      <c r="J131" s="663"/>
      <c r="K131" s="663"/>
      <c r="L131" s="661"/>
      <c r="M131" s="661"/>
      <c r="N131" s="661"/>
      <c r="O131" s="661"/>
      <c r="P131" s="661"/>
      <c r="Q131" s="650"/>
      <c r="R131" s="650"/>
      <c r="S131" s="650"/>
      <c r="T131" s="650"/>
      <c r="U131" s="650"/>
      <c r="V131" s="476"/>
      <c r="W131" s="649"/>
      <c r="X131" s="649"/>
      <c r="Y131" s="649"/>
      <c r="Z131" s="649"/>
      <c r="AA131" s="649"/>
      <c r="AB131" s="649"/>
      <c r="AC131" s="236" t="str">
        <f>IFERROR(VLOOKUP(Z131,【参考】数式用!$A$4:$B$57,2,FALSE),"")</f>
        <v/>
      </c>
      <c r="AD131" s="137"/>
      <c r="AE131" s="138"/>
      <c r="AF131" s="237">
        <f t="shared" si="4"/>
        <v>0</v>
      </c>
      <c r="AG131" s="66" t="str">
        <f>IF(B131="","",IF(AQ131="総合事業","数式を削除して手入力",IFERROR(INDEX(【参考】数式用!$AD$3:$AF$452,MATCH(Q131&amp;V131,【参考】数式用!$AC$3:$AC$452,0),MATCH(VLOOKUP(Z131,【参考】数式用!$AG$2:$AH$56,2,FALSE),【参考】数式用!$AD$2:$AF$2,0)),10)))</f>
        <v/>
      </c>
      <c r="AP131" s="502" t="str">
        <f>IF($L$16="", "", VLOOKUP(Z131,【参考】数式用!$A$2:$O$57,14,FALSE))</f>
        <v/>
      </c>
      <c r="AQ131" s="282" t="e">
        <f>VLOOKUP(Z131,【参考】数式用!$A$2:$O$57,15,FALSE)</f>
        <v>#N/A</v>
      </c>
    </row>
    <row r="132" spans="1:43" ht="49.9" customHeight="1">
      <c r="A132" s="1030">
        <f t="shared" si="3"/>
        <v>93</v>
      </c>
      <c r="B132" s="662"/>
      <c r="C132" s="663"/>
      <c r="D132" s="663"/>
      <c r="E132" s="663"/>
      <c r="F132" s="663"/>
      <c r="G132" s="663"/>
      <c r="H132" s="663"/>
      <c r="I132" s="663"/>
      <c r="J132" s="663"/>
      <c r="K132" s="663"/>
      <c r="L132" s="661"/>
      <c r="M132" s="661"/>
      <c r="N132" s="661"/>
      <c r="O132" s="661"/>
      <c r="P132" s="661"/>
      <c r="Q132" s="650"/>
      <c r="R132" s="650"/>
      <c r="S132" s="650"/>
      <c r="T132" s="650"/>
      <c r="U132" s="650"/>
      <c r="V132" s="476"/>
      <c r="W132" s="649"/>
      <c r="X132" s="649"/>
      <c r="Y132" s="649"/>
      <c r="Z132" s="649"/>
      <c r="AA132" s="649"/>
      <c r="AB132" s="649"/>
      <c r="AC132" s="236" t="str">
        <f>IFERROR(VLOOKUP(Z132,【参考】数式用!$A$4:$B$57,2,FALSE),"")</f>
        <v/>
      </c>
      <c r="AD132" s="137"/>
      <c r="AE132" s="138"/>
      <c r="AF132" s="237">
        <f t="shared" si="4"/>
        <v>0</v>
      </c>
      <c r="AG132" s="66" t="str">
        <f>IF(B132="","",IF(AQ132="総合事業","数式を削除して手入力",IFERROR(INDEX(【参考】数式用!$AD$3:$AF$452,MATCH(Q132&amp;V132,【参考】数式用!$AC$3:$AC$452,0),MATCH(VLOOKUP(Z132,【参考】数式用!$AG$2:$AH$56,2,FALSE),【参考】数式用!$AD$2:$AF$2,0)),10)))</f>
        <v/>
      </c>
      <c r="AP132" s="502" t="str">
        <f>IF($L$16="", "", VLOOKUP(Z132,【参考】数式用!$A$2:$O$57,14,FALSE))</f>
        <v/>
      </c>
      <c r="AQ132" s="282" t="e">
        <f>VLOOKUP(Z132,【参考】数式用!$A$2:$O$57,15,FALSE)</f>
        <v>#N/A</v>
      </c>
    </row>
    <row r="133" spans="1:43" ht="49.9" customHeight="1">
      <c r="A133" s="1030">
        <f t="shared" si="3"/>
        <v>94</v>
      </c>
      <c r="B133" s="662"/>
      <c r="C133" s="663"/>
      <c r="D133" s="663"/>
      <c r="E133" s="663"/>
      <c r="F133" s="663"/>
      <c r="G133" s="663"/>
      <c r="H133" s="663"/>
      <c r="I133" s="663"/>
      <c r="J133" s="663"/>
      <c r="K133" s="663"/>
      <c r="L133" s="661"/>
      <c r="M133" s="661"/>
      <c r="N133" s="661"/>
      <c r="O133" s="661"/>
      <c r="P133" s="661"/>
      <c r="Q133" s="650"/>
      <c r="R133" s="650"/>
      <c r="S133" s="650"/>
      <c r="T133" s="650"/>
      <c r="U133" s="650"/>
      <c r="V133" s="476"/>
      <c r="W133" s="649"/>
      <c r="X133" s="649"/>
      <c r="Y133" s="649"/>
      <c r="Z133" s="649"/>
      <c r="AA133" s="649"/>
      <c r="AB133" s="649"/>
      <c r="AC133" s="236" t="str">
        <f>IFERROR(VLOOKUP(Z133,【参考】数式用!$A$4:$B$57,2,FALSE),"")</f>
        <v/>
      </c>
      <c r="AD133" s="137"/>
      <c r="AE133" s="138"/>
      <c r="AF133" s="237">
        <f t="shared" si="4"/>
        <v>0</v>
      </c>
      <c r="AG133" s="66" t="str">
        <f>IF(B133="","",IF(AQ133="総合事業","数式を削除して手入力",IFERROR(INDEX(【参考】数式用!$AD$3:$AF$452,MATCH(Q133&amp;V133,【参考】数式用!$AC$3:$AC$452,0),MATCH(VLOOKUP(Z133,【参考】数式用!$AG$2:$AH$56,2,FALSE),【参考】数式用!$AD$2:$AF$2,0)),10)))</f>
        <v/>
      </c>
      <c r="AP133" s="502" t="str">
        <f>IF($L$16="", "", VLOOKUP(Z133,【参考】数式用!$A$2:$O$57,14,FALSE))</f>
        <v/>
      </c>
      <c r="AQ133" s="282" t="e">
        <f>VLOOKUP(Z133,【参考】数式用!$A$2:$O$57,15,FALSE)</f>
        <v>#N/A</v>
      </c>
    </row>
    <row r="134" spans="1:43" ht="49.9" customHeight="1">
      <c r="A134" s="1030">
        <f t="shared" si="3"/>
        <v>95</v>
      </c>
      <c r="B134" s="662"/>
      <c r="C134" s="663"/>
      <c r="D134" s="663"/>
      <c r="E134" s="663"/>
      <c r="F134" s="663"/>
      <c r="G134" s="663"/>
      <c r="H134" s="663"/>
      <c r="I134" s="663"/>
      <c r="J134" s="663"/>
      <c r="K134" s="663"/>
      <c r="L134" s="661"/>
      <c r="M134" s="661"/>
      <c r="N134" s="661"/>
      <c r="O134" s="661"/>
      <c r="P134" s="661"/>
      <c r="Q134" s="650"/>
      <c r="R134" s="650"/>
      <c r="S134" s="650"/>
      <c r="T134" s="650"/>
      <c r="U134" s="650"/>
      <c r="V134" s="476"/>
      <c r="W134" s="649"/>
      <c r="X134" s="649"/>
      <c r="Y134" s="649"/>
      <c r="Z134" s="649"/>
      <c r="AA134" s="649"/>
      <c r="AB134" s="649"/>
      <c r="AC134" s="236" t="str">
        <f>IFERROR(VLOOKUP(Z134,【参考】数式用!$A$4:$B$57,2,FALSE),"")</f>
        <v/>
      </c>
      <c r="AD134" s="137"/>
      <c r="AE134" s="138"/>
      <c r="AF134" s="237">
        <f t="shared" si="4"/>
        <v>0</v>
      </c>
      <c r="AG134" s="66" t="str">
        <f>IF(B134="","",IF(AQ134="総合事業","数式を削除して手入力",IFERROR(INDEX(【参考】数式用!$AD$3:$AF$452,MATCH(Q134&amp;V134,【参考】数式用!$AC$3:$AC$452,0),MATCH(VLOOKUP(Z134,【参考】数式用!$AG$2:$AH$56,2,FALSE),【参考】数式用!$AD$2:$AF$2,0)),10)))</f>
        <v/>
      </c>
      <c r="AP134" s="502" t="str">
        <f>IF($L$16="", "", VLOOKUP(Z134,【参考】数式用!$A$2:$O$57,14,FALSE))</f>
        <v/>
      </c>
      <c r="AQ134" s="282" t="e">
        <f>VLOOKUP(Z134,【参考】数式用!$A$2:$O$57,15,FALSE)</f>
        <v>#N/A</v>
      </c>
    </row>
    <row r="135" spans="1:43" ht="49.9" customHeight="1">
      <c r="A135" s="1030">
        <f t="shared" si="3"/>
        <v>96</v>
      </c>
      <c r="B135" s="662"/>
      <c r="C135" s="663"/>
      <c r="D135" s="663"/>
      <c r="E135" s="663"/>
      <c r="F135" s="663"/>
      <c r="G135" s="663"/>
      <c r="H135" s="663"/>
      <c r="I135" s="663"/>
      <c r="J135" s="663"/>
      <c r="K135" s="663"/>
      <c r="L135" s="661"/>
      <c r="M135" s="661"/>
      <c r="N135" s="661"/>
      <c r="O135" s="661"/>
      <c r="P135" s="661"/>
      <c r="Q135" s="650"/>
      <c r="R135" s="650"/>
      <c r="S135" s="650"/>
      <c r="T135" s="650"/>
      <c r="U135" s="650"/>
      <c r="V135" s="476"/>
      <c r="W135" s="649"/>
      <c r="X135" s="649"/>
      <c r="Y135" s="649"/>
      <c r="Z135" s="649"/>
      <c r="AA135" s="649"/>
      <c r="AB135" s="649"/>
      <c r="AC135" s="236" t="str">
        <f>IFERROR(VLOOKUP(Z135,【参考】数式用!$A$4:$B$57,2,FALSE),"")</f>
        <v/>
      </c>
      <c r="AD135" s="137"/>
      <c r="AE135" s="138"/>
      <c r="AF135" s="237">
        <f t="shared" si="4"/>
        <v>0</v>
      </c>
      <c r="AG135" s="66" t="str">
        <f>IF(B135="","",IF(AQ135="総合事業","数式を削除して手入力",IFERROR(INDEX(【参考】数式用!$AD$3:$AF$452,MATCH(Q135&amp;V135,【参考】数式用!$AC$3:$AC$452,0),MATCH(VLOOKUP(Z135,【参考】数式用!$AG$2:$AH$56,2,FALSE),【参考】数式用!$AD$2:$AF$2,0)),10)))</f>
        <v/>
      </c>
      <c r="AP135" s="502" t="str">
        <f>IF($L$16="", "", VLOOKUP(Z135,【参考】数式用!$A$2:$O$57,14,FALSE))</f>
        <v/>
      </c>
      <c r="AQ135" s="282" t="e">
        <f>VLOOKUP(Z135,【参考】数式用!$A$2:$O$57,15,FALSE)</f>
        <v>#N/A</v>
      </c>
    </row>
    <row r="136" spans="1:43" ht="49.9" customHeight="1">
      <c r="A136" s="1030">
        <f t="shared" si="3"/>
        <v>97</v>
      </c>
      <c r="B136" s="662"/>
      <c r="C136" s="663"/>
      <c r="D136" s="663"/>
      <c r="E136" s="663"/>
      <c r="F136" s="663"/>
      <c r="G136" s="663"/>
      <c r="H136" s="663"/>
      <c r="I136" s="663"/>
      <c r="J136" s="663"/>
      <c r="K136" s="663"/>
      <c r="L136" s="661"/>
      <c r="M136" s="661"/>
      <c r="N136" s="661"/>
      <c r="O136" s="661"/>
      <c r="P136" s="661"/>
      <c r="Q136" s="650"/>
      <c r="R136" s="650"/>
      <c r="S136" s="650"/>
      <c r="T136" s="650"/>
      <c r="U136" s="650"/>
      <c r="V136" s="476"/>
      <c r="W136" s="649"/>
      <c r="X136" s="649"/>
      <c r="Y136" s="649"/>
      <c r="Z136" s="649"/>
      <c r="AA136" s="649"/>
      <c r="AB136" s="649"/>
      <c r="AC136" s="236" t="str">
        <f>IFERROR(VLOOKUP(Z136,【参考】数式用!$A$4:$B$57,2,FALSE),"")</f>
        <v/>
      </c>
      <c r="AD136" s="137"/>
      <c r="AE136" s="138"/>
      <c r="AF136" s="237">
        <f t="shared" si="4"/>
        <v>0</v>
      </c>
      <c r="AG136" s="66" t="str">
        <f>IF(B136="","",IF(AQ136="総合事業","数式を削除して手入力",IFERROR(INDEX(【参考】数式用!$AD$3:$AF$452,MATCH(Q136&amp;V136,【参考】数式用!$AC$3:$AC$452,0),MATCH(VLOOKUP(Z136,【参考】数式用!$AG$2:$AH$56,2,FALSE),【参考】数式用!$AD$2:$AF$2,0)),10)))</f>
        <v/>
      </c>
      <c r="AP136" s="502" t="str">
        <f>IF($L$16="", "", VLOOKUP(Z136,【参考】数式用!$A$2:$O$57,14,FALSE))</f>
        <v/>
      </c>
      <c r="AQ136" s="282" t="e">
        <f>VLOOKUP(Z136,【参考】数式用!$A$2:$O$57,15,FALSE)</f>
        <v>#N/A</v>
      </c>
    </row>
    <row r="137" spans="1:43" ht="49.9" customHeight="1">
      <c r="A137" s="1030">
        <f t="shared" si="3"/>
        <v>98</v>
      </c>
      <c r="B137" s="662"/>
      <c r="C137" s="663"/>
      <c r="D137" s="663"/>
      <c r="E137" s="663"/>
      <c r="F137" s="663"/>
      <c r="G137" s="663"/>
      <c r="H137" s="663"/>
      <c r="I137" s="663"/>
      <c r="J137" s="663"/>
      <c r="K137" s="663"/>
      <c r="L137" s="661"/>
      <c r="M137" s="661"/>
      <c r="N137" s="661"/>
      <c r="O137" s="661"/>
      <c r="P137" s="661"/>
      <c r="Q137" s="650"/>
      <c r="R137" s="650"/>
      <c r="S137" s="650"/>
      <c r="T137" s="650"/>
      <c r="U137" s="650"/>
      <c r="V137" s="476"/>
      <c r="W137" s="649"/>
      <c r="X137" s="649"/>
      <c r="Y137" s="649"/>
      <c r="Z137" s="649"/>
      <c r="AA137" s="649"/>
      <c r="AB137" s="649"/>
      <c r="AC137" s="236" t="str">
        <f>IFERROR(VLOOKUP(Z137,【参考】数式用!$A$4:$B$57,2,FALSE),"")</f>
        <v/>
      </c>
      <c r="AD137" s="137"/>
      <c r="AE137" s="138"/>
      <c r="AF137" s="237">
        <f t="shared" si="4"/>
        <v>0</v>
      </c>
      <c r="AG137" s="66" t="str">
        <f>IF(B137="","",IF(AQ137="総合事業","数式を削除して手入力",IFERROR(INDEX(【参考】数式用!$AD$3:$AF$452,MATCH(Q137&amp;V137,【参考】数式用!$AC$3:$AC$452,0),MATCH(VLOOKUP(Z137,【参考】数式用!$AG$2:$AH$56,2,FALSE),【参考】数式用!$AD$2:$AF$2,0)),10)))</f>
        <v/>
      </c>
      <c r="AP137" s="502" t="str">
        <f>IF($L$16="", "", VLOOKUP(Z137,【参考】数式用!$A$2:$O$57,14,FALSE))</f>
        <v/>
      </c>
      <c r="AQ137" s="282" t="e">
        <f>VLOOKUP(Z137,【参考】数式用!$A$2:$O$57,15,FALSE)</f>
        <v>#N/A</v>
      </c>
    </row>
    <row r="138" spans="1:43" ht="49.9" customHeight="1">
      <c r="A138" s="1030">
        <f t="shared" si="3"/>
        <v>99</v>
      </c>
      <c r="B138" s="662"/>
      <c r="C138" s="663"/>
      <c r="D138" s="663"/>
      <c r="E138" s="663"/>
      <c r="F138" s="663"/>
      <c r="G138" s="663"/>
      <c r="H138" s="663"/>
      <c r="I138" s="663"/>
      <c r="J138" s="663"/>
      <c r="K138" s="663"/>
      <c r="L138" s="661"/>
      <c r="M138" s="661"/>
      <c r="N138" s="661"/>
      <c r="O138" s="661"/>
      <c r="P138" s="661"/>
      <c r="Q138" s="650"/>
      <c r="R138" s="650"/>
      <c r="S138" s="650"/>
      <c r="T138" s="650"/>
      <c r="U138" s="650"/>
      <c r="V138" s="476"/>
      <c r="W138" s="649"/>
      <c r="X138" s="649"/>
      <c r="Y138" s="649"/>
      <c r="Z138" s="649"/>
      <c r="AA138" s="649"/>
      <c r="AB138" s="649"/>
      <c r="AC138" s="236" t="str">
        <f>IFERROR(VLOOKUP(Z138,【参考】数式用!$A$4:$B$57,2,FALSE),"")</f>
        <v/>
      </c>
      <c r="AD138" s="137"/>
      <c r="AE138" s="138"/>
      <c r="AF138" s="237">
        <f t="shared" si="4"/>
        <v>0</v>
      </c>
      <c r="AG138" s="66" t="str">
        <f>IF(B138="","",IF(AQ138="総合事業","数式を削除して手入力",IFERROR(INDEX(【参考】数式用!$AD$3:$AF$452,MATCH(Q138&amp;V138,【参考】数式用!$AC$3:$AC$452,0),MATCH(VLOOKUP(Z138,【参考】数式用!$AG$2:$AH$56,2,FALSE),【参考】数式用!$AD$2:$AF$2,0)),10)))</f>
        <v/>
      </c>
      <c r="AP138" s="502" t="str">
        <f>IF($L$16="", "", VLOOKUP(Z138,【参考】数式用!$A$2:$O$57,14,FALSE))</f>
        <v/>
      </c>
      <c r="AQ138" s="282" t="e">
        <f>VLOOKUP(Z138,【参考】数式用!$A$2:$O$57,15,FALSE)</f>
        <v>#N/A</v>
      </c>
    </row>
    <row r="139" spans="1:43" ht="49.9" customHeight="1">
      <c r="A139" s="1030">
        <f t="shared" si="3"/>
        <v>100</v>
      </c>
      <c r="B139" s="662"/>
      <c r="C139" s="663"/>
      <c r="D139" s="663"/>
      <c r="E139" s="663"/>
      <c r="F139" s="663"/>
      <c r="G139" s="663"/>
      <c r="H139" s="663"/>
      <c r="I139" s="663"/>
      <c r="J139" s="663"/>
      <c r="K139" s="663"/>
      <c r="L139" s="661"/>
      <c r="M139" s="661"/>
      <c r="N139" s="661"/>
      <c r="O139" s="661"/>
      <c r="P139" s="661"/>
      <c r="Q139" s="650"/>
      <c r="R139" s="650"/>
      <c r="S139" s="650"/>
      <c r="T139" s="650"/>
      <c r="U139" s="650"/>
      <c r="V139" s="476"/>
      <c r="W139" s="649"/>
      <c r="X139" s="649"/>
      <c r="Y139" s="649"/>
      <c r="Z139" s="649"/>
      <c r="AA139" s="649"/>
      <c r="AB139" s="649"/>
      <c r="AC139" s="236" t="str">
        <f>IFERROR(VLOOKUP(Z139,【参考】数式用!$A$4:$B$57,2,FALSE),"")</f>
        <v/>
      </c>
      <c r="AD139" s="137"/>
      <c r="AE139" s="138"/>
      <c r="AF139" s="237">
        <f t="shared" si="4"/>
        <v>0</v>
      </c>
      <c r="AG139" s="66" t="str">
        <f>IF(B139="","",IF(AQ139="総合事業","数式を削除して手入力",IFERROR(INDEX(【参考】数式用!$AD$3:$AF$452,MATCH(Q139&amp;V139,【参考】数式用!$AC$3:$AC$452,0),MATCH(VLOOKUP(Z139,【参考】数式用!$AG$2:$AH$56,2,FALSE),【参考】数式用!$AD$2:$AF$2,0)),10)))</f>
        <v/>
      </c>
      <c r="AP139" s="502" t="str">
        <f>IF($L$16="", "", VLOOKUP(Z139,【参考】数式用!$A$2:$O$57,14,FALSE))</f>
        <v/>
      </c>
      <c r="AQ139" s="282" t="e">
        <f>VLOOKUP(Z139,【参考】数式用!$A$2:$O$57,15,FALSE)</f>
        <v>#N/A</v>
      </c>
    </row>
  </sheetData>
  <sheetProtection algorithmName="SHA-512" hashValue="bPRiae9HV3M5/HXXc6nG/s7vvUUeytjZERYn794/OnNtEdDCjhBKK7WUA7YcmvrYlbvZZH1zRJJC4pD+eSdVHw==" saltValue="ZAulbm0Hw1Eqp9JWtb+q7Q==" spinCount="100000" sheet="1" formatCells="0" insertRows="0" deleteRows="0" sort="0" autoFilter="0"/>
  <dataConsolidate/>
  <mergeCells count="559">
    <mergeCell ref="Z43:AB43"/>
    <mergeCell ref="AD38:AD39"/>
    <mergeCell ref="A30:AG30"/>
    <mergeCell ref="AF38:AF39"/>
    <mergeCell ref="W131:Y131"/>
    <mergeCell ref="W130:Y130"/>
    <mergeCell ref="W129:Y129"/>
    <mergeCell ref="W128:Y128"/>
    <mergeCell ref="W127:Y127"/>
    <mergeCell ref="A31:AF31"/>
    <mergeCell ref="W109:Y109"/>
    <mergeCell ref="W110:Y110"/>
    <mergeCell ref="W111:Y111"/>
    <mergeCell ref="W112:Y112"/>
    <mergeCell ref="W113:Y113"/>
    <mergeCell ref="W50:Y50"/>
    <mergeCell ref="Z38:AB39"/>
    <mergeCell ref="Z40:AB40"/>
    <mergeCell ref="Z41:AB41"/>
    <mergeCell ref="Z42:AB42"/>
    <mergeCell ref="W54:Y54"/>
    <mergeCell ref="Z46:AB46"/>
    <mergeCell ref="Z47:AB47"/>
    <mergeCell ref="W93:Y93"/>
    <mergeCell ref="W92:Y92"/>
    <mergeCell ref="W85:Y85"/>
    <mergeCell ref="W84:Y84"/>
    <mergeCell ref="W83:Y83"/>
    <mergeCell ref="W62:Y62"/>
    <mergeCell ref="W63:Y63"/>
    <mergeCell ref="W64:Y64"/>
    <mergeCell ref="W65:Y65"/>
    <mergeCell ref="W66:Y66"/>
    <mergeCell ref="W91:Y91"/>
    <mergeCell ref="W82:Y82"/>
    <mergeCell ref="W81:Y81"/>
    <mergeCell ref="W80:Y80"/>
    <mergeCell ref="W79:Y79"/>
    <mergeCell ref="W139:Y139"/>
    <mergeCell ref="W138:Y138"/>
    <mergeCell ref="W137:Y137"/>
    <mergeCell ref="W136:Y136"/>
    <mergeCell ref="W135:Y135"/>
    <mergeCell ref="W134:Y134"/>
    <mergeCell ref="W133:Y133"/>
    <mergeCell ref="W132:Y132"/>
    <mergeCell ref="W119:Y119"/>
    <mergeCell ref="W120:Y120"/>
    <mergeCell ref="W121:Y121"/>
    <mergeCell ref="W122:Y122"/>
    <mergeCell ref="W123:Y123"/>
    <mergeCell ref="W124:Y124"/>
    <mergeCell ref="W126:Y126"/>
    <mergeCell ref="W125:Y125"/>
    <mergeCell ref="W98:Y98"/>
    <mergeCell ref="W97:Y97"/>
    <mergeCell ref="W100:Y100"/>
    <mergeCell ref="W99:Y99"/>
    <mergeCell ref="W96:Y96"/>
    <mergeCell ref="W95:Y95"/>
    <mergeCell ref="W94:Y94"/>
    <mergeCell ref="Z101:AB101"/>
    <mergeCell ref="Z105:AB105"/>
    <mergeCell ref="W102:Y102"/>
    <mergeCell ref="W101:Y101"/>
    <mergeCell ref="Z119:AB119"/>
    <mergeCell ref="Z120:AB120"/>
    <mergeCell ref="Z121:AB121"/>
    <mergeCell ref="Z122:AB122"/>
    <mergeCell ref="Z123:AB123"/>
    <mergeCell ref="W115:Y115"/>
    <mergeCell ref="W116:Y116"/>
    <mergeCell ref="W117:Y117"/>
    <mergeCell ref="W114:Y114"/>
    <mergeCell ref="W107:Y107"/>
    <mergeCell ref="W106:Y106"/>
    <mergeCell ref="W108:Y108"/>
    <mergeCell ref="W118:Y118"/>
    <mergeCell ref="Z106:AB106"/>
    <mergeCell ref="Z107:AB107"/>
    <mergeCell ref="W105:Y105"/>
    <mergeCell ref="W104:Y104"/>
    <mergeCell ref="W103:Y103"/>
    <mergeCell ref="Z84:AB84"/>
    <mergeCell ref="Z85:AB85"/>
    <mergeCell ref="Z110:AB110"/>
    <mergeCell ref="Z115:AB115"/>
    <mergeCell ref="Z116:AB116"/>
    <mergeCell ref="Z117:AB117"/>
    <mergeCell ref="Z118:AB118"/>
    <mergeCell ref="Z108:AB108"/>
    <mergeCell ref="Z109:AB109"/>
    <mergeCell ref="Z86:AB86"/>
    <mergeCell ref="Z87:AB87"/>
    <mergeCell ref="Z88:AB88"/>
    <mergeCell ref="Z89:AB89"/>
    <mergeCell ref="Z90:AB90"/>
    <mergeCell ref="Z91:AB91"/>
    <mergeCell ref="Z92:AB92"/>
    <mergeCell ref="Z93:AB93"/>
    <mergeCell ref="Z100:AB100"/>
    <mergeCell ref="Z97:AB97"/>
    <mergeCell ref="Z98:AB98"/>
    <mergeCell ref="Z99:AB99"/>
    <mergeCell ref="Z102:AB102"/>
    <mergeCell ref="Z103:AB103"/>
    <mergeCell ref="Z104:AB104"/>
    <mergeCell ref="Z136:AB136"/>
    <mergeCell ref="Z137:AB137"/>
    <mergeCell ref="Z128:AB128"/>
    <mergeCell ref="Z124:AB124"/>
    <mergeCell ref="Z125:AB125"/>
    <mergeCell ref="Z126:AB126"/>
    <mergeCell ref="Z127:AB127"/>
    <mergeCell ref="Z138:AB138"/>
    <mergeCell ref="Z139:AB139"/>
    <mergeCell ref="Z129:AB129"/>
    <mergeCell ref="Z130:AB130"/>
    <mergeCell ref="Z131:AB131"/>
    <mergeCell ref="Z132:AB132"/>
    <mergeCell ref="Z133:AB133"/>
    <mergeCell ref="Z134:AB134"/>
    <mergeCell ref="Z135:AB135"/>
    <mergeCell ref="A8:AG8"/>
    <mergeCell ref="A4:AG4"/>
    <mergeCell ref="Z111:AB111"/>
    <mergeCell ref="Z112:AB112"/>
    <mergeCell ref="Z113:AB113"/>
    <mergeCell ref="Z114:AB114"/>
    <mergeCell ref="W88:Y88"/>
    <mergeCell ref="W89:Y89"/>
    <mergeCell ref="W90:Y90"/>
    <mergeCell ref="W57:Y57"/>
    <mergeCell ref="W58:Y58"/>
    <mergeCell ref="W59:Y59"/>
    <mergeCell ref="W60:Y60"/>
    <mergeCell ref="W61:Y61"/>
    <mergeCell ref="Z55:AB55"/>
    <mergeCell ref="B44:K44"/>
    <mergeCell ref="Z44:AB44"/>
    <mergeCell ref="L41:P41"/>
    <mergeCell ref="Z45:AB45"/>
    <mergeCell ref="W38:Y39"/>
    <mergeCell ref="W41:Y41"/>
    <mergeCell ref="Z94:AB94"/>
    <mergeCell ref="Z95:AB95"/>
    <mergeCell ref="Z96:AB96"/>
    <mergeCell ref="A2:AG2"/>
    <mergeCell ref="A1:AG1"/>
    <mergeCell ref="A23:A24"/>
    <mergeCell ref="A25:A26"/>
    <mergeCell ref="B21:K21"/>
    <mergeCell ref="A20:A21"/>
    <mergeCell ref="B26:K26"/>
    <mergeCell ref="B23:K23"/>
    <mergeCell ref="B25:K25"/>
    <mergeCell ref="L25:X25"/>
    <mergeCell ref="L26:X26"/>
    <mergeCell ref="B24:K24"/>
    <mergeCell ref="L23:X23"/>
    <mergeCell ref="L24:X24"/>
    <mergeCell ref="A14:AA14"/>
    <mergeCell ref="A22:K22"/>
    <mergeCell ref="A15:A16"/>
    <mergeCell ref="C11:R11"/>
    <mergeCell ref="L18:AF18"/>
    <mergeCell ref="L19:AF19"/>
    <mergeCell ref="B20:K20"/>
    <mergeCell ref="A3:AG3"/>
    <mergeCell ref="L21:AF21"/>
    <mergeCell ref="B17:K17"/>
    <mergeCell ref="L22:V22"/>
    <mergeCell ref="L20:AF20"/>
    <mergeCell ref="AC38:AC39"/>
    <mergeCell ref="T33:U33"/>
    <mergeCell ref="T34:U34"/>
    <mergeCell ref="T35:U35"/>
    <mergeCell ref="T36:U36"/>
    <mergeCell ref="A33:S33"/>
    <mergeCell ref="A34:S34"/>
    <mergeCell ref="A35:S35"/>
    <mergeCell ref="A36:S36"/>
    <mergeCell ref="A38:A39"/>
    <mergeCell ref="A17:A19"/>
    <mergeCell ref="B15:K15"/>
    <mergeCell ref="B16:K16"/>
    <mergeCell ref="B18:K18"/>
    <mergeCell ref="B19:K19"/>
    <mergeCell ref="L15:AF15"/>
    <mergeCell ref="L16:AF16"/>
    <mergeCell ref="L17:O17"/>
    <mergeCell ref="Q17:U17"/>
    <mergeCell ref="B45:K45"/>
    <mergeCell ref="Q42:U42"/>
    <mergeCell ref="B38:K39"/>
    <mergeCell ref="L42:P42"/>
    <mergeCell ref="B42:K42"/>
    <mergeCell ref="L38:P39"/>
    <mergeCell ref="B40:K40"/>
    <mergeCell ref="B41:K41"/>
    <mergeCell ref="Q40:U40"/>
    <mergeCell ref="L40:P40"/>
    <mergeCell ref="B43:K43"/>
    <mergeCell ref="L43:P43"/>
    <mergeCell ref="Q43:U43"/>
    <mergeCell ref="Q104:U104"/>
    <mergeCell ref="Q103:U103"/>
    <mergeCell ref="L114:P114"/>
    <mergeCell ref="L120:P120"/>
    <mergeCell ref="Q139:U139"/>
    <mergeCell ref="Q138:U138"/>
    <mergeCell ref="Q137:U137"/>
    <mergeCell ref="Q136:U136"/>
    <mergeCell ref="Q135:U135"/>
    <mergeCell ref="Q134:U134"/>
    <mergeCell ref="Q133:U133"/>
    <mergeCell ref="Q132:U132"/>
    <mergeCell ref="Q131:U131"/>
    <mergeCell ref="Q130:U130"/>
    <mergeCell ref="Q129:U129"/>
    <mergeCell ref="Q128:U128"/>
    <mergeCell ref="L103:P103"/>
    <mergeCell ref="Q108:U108"/>
    <mergeCell ref="Q127:U127"/>
    <mergeCell ref="Q126:U126"/>
    <mergeCell ref="L123:P123"/>
    <mergeCell ref="L124:P124"/>
    <mergeCell ref="Q107:U107"/>
    <mergeCell ref="Q125:U125"/>
    <mergeCell ref="Q124:U124"/>
    <mergeCell ref="Q123:U123"/>
    <mergeCell ref="Q122:U122"/>
    <mergeCell ref="L113:P113"/>
    <mergeCell ref="B97:K97"/>
    <mergeCell ref="B98:K98"/>
    <mergeCell ref="Q79:U79"/>
    <mergeCell ref="Q82:U82"/>
    <mergeCell ref="L108:P108"/>
    <mergeCell ref="L116:P116"/>
    <mergeCell ref="L117:P117"/>
    <mergeCell ref="L118:P118"/>
    <mergeCell ref="L94:P94"/>
    <mergeCell ref="L95:P95"/>
    <mergeCell ref="L87:P87"/>
    <mergeCell ref="Q105:U105"/>
    <mergeCell ref="Q106:U106"/>
    <mergeCell ref="Q99:U99"/>
    <mergeCell ref="Q118:U118"/>
    <mergeCell ref="Q116:U116"/>
    <mergeCell ref="Q115:U115"/>
    <mergeCell ref="Q114:U114"/>
    <mergeCell ref="Q113:U113"/>
    <mergeCell ref="Q112:U112"/>
    <mergeCell ref="Q111:U111"/>
    <mergeCell ref="Q110:U110"/>
    <mergeCell ref="Q109:U109"/>
    <mergeCell ref="Q117:U117"/>
    <mergeCell ref="B79:K79"/>
    <mergeCell ref="L63:P63"/>
    <mergeCell ref="L62:P62"/>
    <mergeCell ref="Q98:U98"/>
    <mergeCell ref="Q97:U97"/>
    <mergeCell ref="B99:K99"/>
    <mergeCell ref="B103:K103"/>
    <mergeCell ref="L107:P107"/>
    <mergeCell ref="L109:P109"/>
    <mergeCell ref="L110:P110"/>
    <mergeCell ref="B104:K104"/>
    <mergeCell ref="B108:K108"/>
    <mergeCell ref="L105:P105"/>
    <mergeCell ref="B80:K80"/>
    <mergeCell ref="B71:K71"/>
    <mergeCell ref="L104:P104"/>
    <mergeCell ref="L99:P99"/>
    <mergeCell ref="L75:P75"/>
    <mergeCell ref="L106:P106"/>
    <mergeCell ref="B89:K89"/>
    <mergeCell ref="B46:K46"/>
    <mergeCell ref="B47:K47"/>
    <mergeCell ref="B48:K48"/>
    <mergeCell ref="L49:P49"/>
    <mergeCell ref="B72:K72"/>
    <mergeCell ref="B75:K75"/>
    <mergeCell ref="B94:K94"/>
    <mergeCell ref="B96:K96"/>
    <mergeCell ref="B77:K77"/>
    <mergeCell ref="B78:K78"/>
    <mergeCell ref="L80:P80"/>
    <mergeCell ref="L82:P82"/>
    <mergeCell ref="L92:P92"/>
    <mergeCell ref="L93:P93"/>
    <mergeCell ref="L79:P79"/>
    <mergeCell ref="B67:K67"/>
    <mergeCell ref="L68:P68"/>
    <mergeCell ref="L70:P70"/>
    <mergeCell ref="L88:P88"/>
    <mergeCell ref="L83:P83"/>
    <mergeCell ref="L84:P84"/>
    <mergeCell ref="L85:P85"/>
    <mergeCell ref="B68:K68"/>
    <mergeCell ref="B69:K69"/>
    <mergeCell ref="L101:P101"/>
    <mergeCell ref="L102:P102"/>
    <mergeCell ref="L96:P96"/>
    <mergeCell ref="L71:P71"/>
    <mergeCell ref="B95:K95"/>
    <mergeCell ref="L100:P100"/>
    <mergeCell ref="L97:P97"/>
    <mergeCell ref="L98:P98"/>
    <mergeCell ref="B70:K70"/>
    <mergeCell ref="B73:K73"/>
    <mergeCell ref="L86:P86"/>
    <mergeCell ref="L72:P72"/>
    <mergeCell ref="L81:P81"/>
    <mergeCell ref="B76:K76"/>
    <mergeCell ref="B74:K74"/>
    <mergeCell ref="B100:K100"/>
    <mergeCell ref="B81:K81"/>
    <mergeCell ref="B92:K92"/>
    <mergeCell ref="B93:K93"/>
    <mergeCell ref="B86:K86"/>
    <mergeCell ref="B87:K87"/>
    <mergeCell ref="B88:K88"/>
    <mergeCell ref="B129:K129"/>
    <mergeCell ref="B121:K121"/>
    <mergeCell ref="B114:K114"/>
    <mergeCell ref="B130:K130"/>
    <mergeCell ref="L125:P125"/>
    <mergeCell ref="L126:P126"/>
    <mergeCell ref="L121:P121"/>
    <mergeCell ref="L122:P122"/>
    <mergeCell ref="L115:P115"/>
    <mergeCell ref="B127:K127"/>
    <mergeCell ref="B115:K115"/>
    <mergeCell ref="B116:K116"/>
    <mergeCell ref="B128:K128"/>
    <mergeCell ref="B126:K126"/>
    <mergeCell ref="B125:K125"/>
    <mergeCell ref="B122:K122"/>
    <mergeCell ref="B123:K123"/>
    <mergeCell ref="B117:K117"/>
    <mergeCell ref="B118:K118"/>
    <mergeCell ref="B119:K119"/>
    <mergeCell ref="B120:K120"/>
    <mergeCell ref="B124:K124"/>
    <mergeCell ref="L127:P127"/>
    <mergeCell ref="L119:P119"/>
    <mergeCell ref="L139:P139"/>
    <mergeCell ref="L128:P128"/>
    <mergeCell ref="L129:P129"/>
    <mergeCell ref="L130:P130"/>
    <mergeCell ref="L131:P131"/>
    <mergeCell ref="L132:P132"/>
    <mergeCell ref="L133:P133"/>
    <mergeCell ref="L134:P134"/>
    <mergeCell ref="L135:P135"/>
    <mergeCell ref="L136:P136"/>
    <mergeCell ref="L138:P138"/>
    <mergeCell ref="L137:P137"/>
    <mergeCell ref="B131:K131"/>
    <mergeCell ref="B132:K132"/>
    <mergeCell ref="B133:K133"/>
    <mergeCell ref="B134:K134"/>
    <mergeCell ref="B135:K135"/>
    <mergeCell ref="B136:K136"/>
    <mergeCell ref="B137:K137"/>
    <mergeCell ref="B138:K138"/>
    <mergeCell ref="B139:K139"/>
    <mergeCell ref="Q121:U121"/>
    <mergeCell ref="Q120:U120"/>
    <mergeCell ref="Q119:U119"/>
    <mergeCell ref="B82:K82"/>
    <mergeCell ref="B83:K83"/>
    <mergeCell ref="B84:K84"/>
    <mergeCell ref="B85:K85"/>
    <mergeCell ref="B90:K90"/>
    <mergeCell ref="B91:K91"/>
    <mergeCell ref="B109:K109"/>
    <mergeCell ref="B110:K110"/>
    <mergeCell ref="B105:K105"/>
    <mergeCell ref="B106:K106"/>
    <mergeCell ref="B107:K107"/>
    <mergeCell ref="B111:K111"/>
    <mergeCell ref="B112:K112"/>
    <mergeCell ref="B113:K113"/>
    <mergeCell ref="L111:P111"/>
    <mergeCell ref="B101:K101"/>
    <mergeCell ref="B102:K102"/>
    <mergeCell ref="Q102:U102"/>
    <mergeCell ref="Q101:U101"/>
    <mergeCell ref="L112:P112"/>
    <mergeCell ref="Q100:U100"/>
    <mergeCell ref="Q96:U96"/>
    <mergeCell ref="Q69:U69"/>
    <mergeCell ref="Q70:U70"/>
    <mergeCell ref="Q77:U77"/>
    <mergeCell ref="Q80:U80"/>
    <mergeCell ref="Q95:U95"/>
    <mergeCell ref="Q94:U94"/>
    <mergeCell ref="Q74:U74"/>
    <mergeCell ref="L76:P76"/>
    <mergeCell ref="Q83:U83"/>
    <mergeCell ref="Q93:U93"/>
    <mergeCell ref="Q92:U92"/>
    <mergeCell ref="L90:P90"/>
    <mergeCell ref="L91:P91"/>
    <mergeCell ref="L78:P78"/>
    <mergeCell ref="L77:P77"/>
    <mergeCell ref="L73:P73"/>
    <mergeCell ref="L74:P74"/>
    <mergeCell ref="L89:P89"/>
    <mergeCell ref="Q91:U91"/>
    <mergeCell ref="Q90:U90"/>
    <mergeCell ref="Q85:U85"/>
    <mergeCell ref="Q84:U84"/>
    <mergeCell ref="Q78:U78"/>
    <mergeCell ref="B63:K63"/>
    <mergeCell ref="B58:K58"/>
    <mergeCell ref="Q58:U58"/>
    <mergeCell ref="Q60:U60"/>
    <mergeCell ref="Q61:U61"/>
    <mergeCell ref="L58:P58"/>
    <mergeCell ref="B60:K60"/>
    <mergeCell ref="Q67:U67"/>
    <mergeCell ref="Q64:U64"/>
    <mergeCell ref="Q65:U65"/>
    <mergeCell ref="Q63:U63"/>
    <mergeCell ref="L65:P65"/>
    <mergeCell ref="L66:P66"/>
    <mergeCell ref="L67:P67"/>
    <mergeCell ref="Q59:U59"/>
    <mergeCell ref="B64:K64"/>
    <mergeCell ref="B61:K61"/>
    <mergeCell ref="Q66:U66"/>
    <mergeCell ref="B65:K65"/>
    <mergeCell ref="B66:K66"/>
    <mergeCell ref="L59:P59"/>
    <mergeCell ref="B62:K62"/>
    <mergeCell ref="L64:P64"/>
    <mergeCell ref="Q81:U81"/>
    <mergeCell ref="Q73:U73"/>
    <mergeCell ref="B49:K49"/>
    <mergeCell ref="B50:K50"/>
    <mergeCell ref="B51:K51"/>
    <mergeCell ref="B52:K52"/>
    <mergeCell ref="B53:K53"/>
    <mergeCell ref="L50:P50"/>
    <mergeCell ref="L55:P55"/>
    <mergeCell ref="L56:P56"/>
    <mergeCell ref="Q56:U56"/>
    <mergeCell ref="L60:P60"/>
    <mergeCell ref="L61:P61"/>
    <mergeCell ref="L57:P57"/>
    <mergeCell ref="B55:K55"/>
    <mergeCell ref="B54:K54"/>
    <mergeCell ref="L53:P53"/>
    <mergeCell ref="Q53:U53"/>
    <mergeCell ref="B56:K56"/>
    <mergeCell ref="Q52:U52"/>
    <mergeCell ref="B57:K57"/>
    <mergeCell ref="L51:P51"/>
    <mergeCell ref="L69:P69"/>
    <mergeCell ref="B59:K59"/>
    <mergeCell ref="AG38:AG39"/>
    <mergeCell ref="Q38:V38"/>
    <mergeCell ref="AE38:AE39"/>
    <mergeCell ref="Q39:U39"/>
    <mergeCell ref="L46:P46"/>
    <mergeCell ref="L45:P45"/>
    <mergeCell ref="L44:P44"/>
    <mergeCell ref="Q55:U55"/>
    <mergeCell ref="L52:P52"/>
    <mergeCell ref="L54:P54"/>
    <mergeCell ref="Q50:U50"/>
    <mergeCell ref="Q51:U51"/>
    <mergeCell ref="L47:P47"/>
    <mergeCell ref="L48:P48"/>
    <mergeCell ref="Q46:U46"/>
    <mergeCell ref="W42:Y42"/>
    <mergeCell ref="Z48:AB48"/>
    <mergeCell ref="Z49:AB49"/>
    <mergeCell ref="Z50:AB50"/>
    <mergeCell ref="Z51:AB51"/>
    <mergeCell ref="Z52:AB52"/>
    <mergeCell ref="Z53:AB53"/>
    <mergeCell ref="Z54:AB54"/>
    <mergeCell ref="W43:Y43"/>
    <mergeCell ref="Z57:AB57"/>
    <mergeCell ref="Z58:AB58"/>
    <mergeCell ref="Z59:AB59"/>
    <mergeCell ref="Z60:AB60"/>
    <mergeCell ref="Z61:AB61"/>
    <mergeCell ref="Q57:U57"/>
    <mergeCell ref="Q49:U49"/>
    <mergeCell ref="Q54:U54"/>
    <mergeCell ref="W44:Y44"/>
    <mergeCell ref="W45:Y45"/>
    <mergeCell ref="W46:Y46"/>
    <mergeCell ref="W47:Y47"/>
    <mergeCell ref="W48:Y48"/>
    <mergeCell ref="W49:Y49"/>
    <mergeCell ref="Z56:AB56"/>
    <mergeCell ref="W55:Y55"/>
    <mergeCell ref="W56:Y56"/>
    <mergeCell ref="W51:Y51"/>
    <mergeCell ref="W52:Y52"/>
    <mergeCell ref="W53:Y53"/>
    <mergeCell ref="Q47:U47"/>
    <mergeCell ref="Q48:U48"/>
    <mergeCell ref="Q44:U44"/>
    <mergeCell ref="Q45:U45"/>
    <mergeCell ref="Z62:AB62"/>
    <mergeCell ref="Z63:AB63"/>
    <mergeCell ref="Z64:AB64"/>
    <mergeCell ref="Z65:AB65"/>
    <mergeCell ref="Q62:U62"/>
    <mergeCell ref="Q41:U41"/>
    <mergeCell ref="W40:Y40"/>
    <mergeCell ref="Z75:AB75"/>
    <mergeCell ref="Z76:AB76"/>
    <mergeCell ref="W67:Y67"/>
    <mergeCell ref="W68:Y68"/>
    <mergeCell ref="W73:Y73"/>
    <mergeCell ref="Z71:AB71"/>
    <mergeCell ref="Z72:AB72"/>
    <mergeCell ref="W69:Y69"/>
    <mergeCell ref="W70:Y70"/>
    <mergeCell ref="W71:Y71"/>
    <mergeCell ref="W72:Y72"/>
    <mergeCell ref="Z73:AB73"/>
    <mergeCell ref="Z74:AB74"/>
    <mergeCell ref="W76:Y76"/>
    <mergeCell ref="W75:Y75"/>
    <mergeCell ref="W74:Y74"/>
    <mergeCell ref="Z66:AB66"/>
    <mergeCell ref="Z67:AB67"/>
    <mergeCell ref="Z68:AB68"/>
    <mergeCell ref="Z69:AB69"/>
    <mergeCell ref="Z70:AB70"/>
    <mergeCell ref="W78:Y78"/>
    <mergeCell ref="W77:Y77"/>
    <mergeCell ref="Q76:U76"/>
    <mergeCell ref="Q75:U75"/>
    <mergeCell ref="Q89:U89"/>
    <mergeCell ref="Q88:U88"/>
    <mergeCell ref="Q87:U87"/>
    <mergeCell ref="Q86:U86"/>
    <mergeCell ref="W87:Y87"/>
    <mergeCell ref="W86:Y86"/>
    <mergeCell ref="Q72:U72"/>
    <mergeCell ref="Q71:U71"/>
    <mergeCell ref="Q68:U68"/>
    <mergeCell ref="Z77:AB77"/>
    <mergeCell ref="Z78:AB78"/>
    <mergeCell ref="Z79:AB79"/>
    <mergeCell ref="Z80:AB80"/>
    <mergeCell ref="Z81:AB81"/>
    <mergeCell ref="Z82:AB82"/>
    <mergeCell ref="Z83:AB83"/>
  </mergeCells>
  <phoneticPr fontId="12"/>
  <conditionalFormatting sqref="AG40:AG139">
    <cfRule type="expression" dxfId="75" priority="2378">
      <formula>$AG40="数式を削除して手入力"</formula>
    </cfRule>
  </conditionalFormatting>
  <dataValidations xWindow="495" yWindow="386" count="4">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B40:K139" xr:uid="{C39D0BE5-0E97-474E-8910-4A5E3C5F8F13}">
      <formula1>10</formula1>
    </dataValidation>
    <dataValidation type="textLength" imeMode="halfAlpha" operator="equal" allowBlank="1" showInputMessage="1" showErrorMessage="1" error="桁数が正しくありません。13桁の法人番号を入力してください。" sqref="L22:V22" xr:uid="{90B3E385-BA7F-4F5B-BD7D-FDB3C9B5F8C4}">
      <formula1>13</formula1>
    </dataValidation>
    <dataValidation type="list" allowBlank="1" showInputMessage="1" showErrorMessage="1" sqref="V40 V46:V139" xr:uid="{66348D41-B832-432D-AE11-3C2691DEDF5E}">
      <formula1>INDIRECT(Q40)</formula1>
    </dataValidation>
    <dataValidation type="list" allowBlank="1" showInputMessage="1" showErrorMessage="1" sqref="V41:V45" xr:uid="{F3281AF2-FC3B-4B42-B635-EDFFD5EF86F7}">
      <formula1>INDIRECT($Q41)</formula1>
    </dataValidation>
  </dataValidations>
  <pageMargins left="0.7" right="0.7" top="0.75" bottom="0.75" header="0.3" footer="0.3"/>
  <pageSetup paperSize="9" scale="12" orientation="portrait" r:id="rId1"/>
  <rowBreaks count="1" manualBreakCount="1">
    <brk id="27" max="32" man="1"/>
  </rowBreaks>
  <drawing r:id="rId2"/>
  <legacyDrawing r:id="rId3"/>
  <extLst>
    <ext xmlns:x14="http://schemas.microsoft.com/office/spreadsheetml/2009/9/main" uri="{CCE6A557-97BC-4b89-ADB6-D9C93CAAB3DF}">
      <x14:dataValidations xmlns:xm="http://schemas.microsoft.com/office/excel/2006/main" xWindow="495" yWindow="386" count="3">
        <x14:dataValidation type="list" allowBlank="1" showInputMessage="1" showErrorMessage="1" xr:uid="{867DDC1A-8B66-43FD-A665-BAC015C074FD}">
          <x14:formula1>
            <xm:f>【参考】数式用!$AJ$3:$AJ$4</xm:f>
          </x14:formula1>
          <xm:sqref>W33:W36</xm:sqref>
        </x14:dataValidation>
        <x14:dataValidation type="list" allowBlank="1" showInputMessage="1" showErrorMessage="1" xr:uid="{81748AE2-D3F3-4029-8C6E-F82606D98F83}">
          <x14:formula1>
            <xm:f>【参考】数式用!$A$4:$A$57</xm:f>
          </x14:formula1>
          <xm:sqref>Z40:AB139</xm:sqref>
        </x14:dataValidation>
        <x14:dataValidation type="list" allowBlank="1" showInputMessage="1" showErrorMessage="1" xr:uid="{9DAE3ADC-92C3-476C-AED7-ABA654180295}">
          <x14:formula1>
            <xm:f>【参考】数式用!$T$3:$T$49</xm:f>
          </x14:formula1>
          <xm:sqref>Q40:U139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E32C2-434E-4E9F-9ED6-7D2EA2275294}">
  <dimension ref="A1:BH166"/>
  <sheetViews>
    <sheetView view="pageBreakPreview" zoomScale="86" zoomScaleNormal="120" zoomScaleSheetLayoutView="86" zoomScalePageLayoutView="64" workbookViewId="0">
      <selection activeCell="BG20" sqref="BG20"/>
    </sheetView>
  </sheetViews>
  <sheetFormatPr defaultColWidth="2.5" defaultRowHeight="13.5"/>
  <cols>
    <col min="1" max="1" width="2.125" customWidth="1"/>
    <col min="2" max="2" width="3.125" customWidth="1"/>
    <col min="3" max="4" width="2.5" customWidth="1"/>
    <col min="5" max="5" width="3" customWidth="1"/>
    <col min="6" max="14" width="2.5" customWidth="1"/>
    <col min="15" max="15" width="1.5" customWidth="1"/>
    <col min="16" max="16" width="8.125" customWidth="1"/>
    <col min="17" max="18" width="2.5" customWidth="1"/>
    <col min="19" max="19" width="3.5" customWidth="1"/>
    <col min="20" max="28" width="2.5" customWidth="1"/>
    <col min="29" max="29" width="3.5" customWidth="1"/>
    <col min="30" max="30" width="4.5" customWidth="1"/>
    <col min="31" max="35" width="2.5" customWidth="1"/>
    <col min="36" max="36" width="4.5" customWidth="1"/>
    <col min="37" max="37" width="7.5" customWidth="1"/>
    <col min="38" max="38" width="2.5" customWidth="1"/>
    <col min="39" max="39" width="7.5" customWidth="1"/>
    <col min="40" max="40" width="8.125" customWidth="1"/>
    <col min="41" max="41" width="5.5" customWidth="1"/>
    <col min="42" max="42" width="6" customWidth="1"/>
    <col min="43" max="43" width="7.5" customWidth="1"/>
    <col min="44" max="44" width="9.5" customWidth="1"/>
    <col min="45" max="45" width="5.5" customWidth="1"/>
    <col min="46" max="46" width="8.5" customWidth="1"/>
    <col min="47" max="47" width="8" customWidth="1"/>
    <col min="48" max="48" width="6" customWidth="1"/>
    <col min="49" max="49" width="7.5" customWidth="1"/>
    <col min="50" max="50" width="4.875" customWidth="1"/>
    <col min="51" max="52" width="6.5" customWidth="1"/>
    <col min="53" max="53" width="9.5" customWidth="1"/>
    <col min="54" max="54" width="13.25" customWidth="1"/>
    <col min="55" max="58" width="4.125" customWidth="1"/>
    <col min="59" max="59" width="9.875" customWidth="1"/>
    <col min="60" max="60" width="9.5" customWidth="1"/>
    <col min="61" max="63" width="4.125" customWidth="1"/>
    <col min="66" max="66" width="9" customWidth="1"/>
  </cols>
  <sheetData>
    <row r="1" spans="1:51" ht="18.75" customHeight="1" thickBot="1">
      <c r="A1" s="15"/>
      <c r="B1" s="240" t="s">
        <v>50</v>
      </c>
      <c r="C1" s="241"/>
      <c r="D1" s="241"/>
      <c r="E1" s="241"/>
      <c r="F1" s="241"/>
      <c r="G1" s="241"/>
      <c r="H1" s="241"/>
      <c r="I1" s="241"/>
      <c r="J1" s="241"/>
      <c r="K1" s="241"/>
      <c r="L1" s="241"/>
      <c r="M1" s="241"/>
      <c r="N1" s="241"/>
      <c r="O1" s="241"/>
      <c r="P1" s="241"/>
      <c r="Q1" s="241"/>
      <c r="R1" s="241"/>
      <c r="S1" s="241"/>
      <c r="T1" s="241"/>
      <c r="U1" s="241"/>
      <c r="V1" s="241"/>
      <c r="W1" s="241"/>
      <c r="X1" s="241"/>
      <c r="Y1" s="241"/>
      <c r="Z1" s="242"/>
      <c r="AA1" s="242"/>
      <c r="AB1" s="242"/>
      <c r="AC1" s="872" t="s">
        <v>7</v>
      </c>
      <c r="AD1" s="872"/>
      <c r="AE1" s="872"/>
      <c r="AF1" s="872" t="str">
        <f>IF(基本情報入力シート!C11="","",基本情報入力シート!C11)</f>
        <v/>
      </c>
      <c r="AG1" s="872"/>
      <c r="AH1" s="872"/>
      <c r="AI1" s="872"/>
      <c r="AJ1" s="872"/>
      <c r="AK1" s="873"/>
      <c r="AL1" s="15"/>
      <c r="AM1" s="15"/>
      <c r="AN1" s="15"/>
      <c r="AO1" s="15"/>
      <c r="AP1" s="15"/>
      <c r="AQ1" s="15"/>
      <c r="AR1" s="15"/>
      <c r="AS1" s="15"/>
      <c r="AT1" s="15"/>
      <c r="AU1" s="15"/>
      <c r="AV1" s="15"/>
      <c r="AW1" s="15"/>
      <c r="AX1" s="15"/>
      <c r="AY1" s="15"/>
    </row>
    <row r="2" spans="1:51" ht="4.1500000000000004" customHeight="1">
      <c r="A2" s="15"/>
      <c r="B2" s="241"/>
      <c r="C2" s="241"/>
      <c r="D2" s="241"/>
      <c r="E2" s="241"/>
      <c r="F2" s="241"/>
      <c r="G2" s="241"/>
      <c r="H2" s="241"/>
      <c r="I2" s="241"/>
      <c r="J2" s="241"/>
      <c r="K2" s="241"/>
      <c r="L2" s="241"/>
      <c r="M2" s="241"/>
      <c r="N2" s="241"/>
      <c r="O2" s="241"/>
      <c r="P2" s="241"/>
      <c r="Q2" s="241"/>
      <c r="R2" s="241"/>
      <c r="S2" s="241"/>
      <c r="T2" s="241"/>
      <c r="U2" s="241"/>
      <c r="V2" s="241"/>
      <c r="W2" s="241"/>
      <c r="X2" s="241"/>
      <c r="Y2" s="241"/>
      <c r="Z2" s="241"/>
      <c r="AA2" s="241"/>
      <c r="AB2" s="241"/>
      <c r="AC2" s="241"/>
      <c r="AD2" s="241"/>
      <c r="AE2" s="241"/>
      <c r="AF2" s="241"/>
      <c r="AG2" s="241"/>
      <c r="AH2" s="241"/>
      <c r="AI2" s="241"/>
      <c r="AJ2" s="241"/>
      <c r="AK2" s="241"/>
      <c r="AL2" s="15"/>
      <c r="AM2" s="15"/>
      <c r="AN2" s="15"/>
      <c r="AO2" s="15"/>
      <c r="AP2" s="15"/>
      <c r="AQ2" s="15"/>
      <c r="AR2" s="15"/>
      <c r="AS2" s="15"/>
      <c r="AT2" s="15"/>
      <c r="AU2" s="15"/>
      <c r="AV2" s="15"/>
      <c r="AW2" s="15"/>
      <c r="AX2" s="15"/>
      <c r="AY2" s="15"/>
    </row>
    <row r="3" spans="1:51" ht="18.600000000000001" customHeight="1">
      <c r="A3" s="15"/>
      <c r="B3" s="884" t="s">
        <v>51</v>
      </c>
      <c r="C3" s="884"/>
      <c r="D3" s="884"/>
      <c r="E3" s="884"/>
      <c r="F3" s="884"/>
      <c r="G3" s="884"/>
      <c r="H3" s="884"/>
      <c r="I3" s="884"/>
      <c r="J3" s="884"/>
      <c r="K3" s="884"/>
      <c r="L3" s="884"/>
      <c r="M3" s="884"/>
      <c r="N3" s="884"/>
      <c r="O3" s="884"/>
      <c r="P3" s="884"/>
      <c r="Q3" s="884"/>
      <c r="R3" s="884"/>
      <c r="S3" s="884"/>
      <c r="T3" s="884"/>
      <c r="U3" s="884"/>
      <c r="V3" s="884"/>
      <c r="W3" s="884"/>
      <c r="X3" s="884"/>
      <c r="Y3" s="884"/>
      <c r="Z3" s="884"/>
      <c r="AA3" s="884"/>
      <c r="AB3" s="884"/>
      <c r="AC3" s="884"/>
      <c r="AD3" s="884"/>
      <c r="AE3" s="884"/>
      <c r="AF3" s="884"/>
      <c r="AG3" s="884"/>
      <c r="AH3" s="884"/>
      <c r="AI3" s="884"/>
      <c r="AJ3" s="884"/>
      <c r="AK3" s="884"/>
      <c r="AL3" s="243"/>
      <c r="AM3" s="244"/>
      <c r="AN3" s="15"/>
      <c r="AO3" s="15"/>
      <c r="AP3" s="15"/>
      <c r="AQ3" s="15"/>
      <c r="AR3" s="15"/>
      <c r="AS3" s="15"/>
      <c r="AT3" s="15"/>
      <c r="AU3" s="15"/>
      <c r="AV3" s="15"/>
      <c r="AW3" s="15"/>
      <c r="AX3" s="15"/>
      <c r="AY3" s="15"/>
    </row>
    <row r="4" spans="1:51" ht="19.5" customHeight="1">
      <c r="A4" s="15"/>
      <c r="B4" s="245" t="s">
        <v>52</v>
      </c>
      <c r="C4" s="245"/>
      <c r="D4" s="245"/>
      <c r="E4" s="245"/>
      <c r="F4" s="245"/>
      <c r="G4" s="245"/>
      <c r="H4" s="245"/>
      <c r="I4" s="245"/>
      <c r="J4" s="246"/>
      <c r="K4" s="246"/>
      <c r="L4" s="246"/>
      <c r="M4" s="246"/>
      <c r="N4" s="246"/>
      <c r="O4" s="246"/>
      <c r="P4" s="246"/>
      <c r="Q4" s="246"/>
      <c r="R4" s="246"/>
      <c r="S4" s="246"/>
      <c r="T4" s="246"/>
      <c r="U4" s="246"/>
      <c r="V4" s="246"/>
      <c r="W4" s="246"/>
      <c r="X4" s="246"/>
      <c r="Y4" s="246"/>
      <c r="Z4" s="246"/>
      <c r="AA4" s="246"/>
      <c r="AB4" s="246"/>
      <c r="AC4" s="246"/>
      <c r="AD4" s="246"/>
      <c r="AE4" s="246"/>
      <c r="AF4" s="246"/>
      <c r="AG4" s="246"/>
      <c r="AH4" s="246"/>
      <c r="AI4" s="246"/>
      <c r="AJ4" s="246"/>
      <c r="AK4" s="246"/>
      <c r="AL4" s="15"/>
      <c r="AM4" s="15"/>
      <c r="AN4" s="15"/>
      <c r="AO4" s="15"/>
      <c r="AP4" s="15"/>
      <c r="AQ4" s="15"/>
      <c r="AR4" s="15"/>
      <c r="AS4" s="15"/>
      <c r="AT4" s="15"/>
      <c r="AU4" s="15"/>
      <c r="AV4" s="15"/>
      <c r="AW4" s="15"/>
      <c r="AX4" s="15"/>
      <c r="AY4" s="15"/>
    </row>
    <row r="5" spans="1:51" s="12" customFormat="1" ht="13.5" customHeight="1">
      <c r="A5" s="247"/>
      <c r="B5" s="885" t="s">
        <v>11</v>
      </c>
      <c r="C5" s="885"/>
      <c r="D5" s="885"/>
      <c r="E5" s="885"/>
      <c r="F5" s="885"/>
      <c r="G5" s="885"/>
      <c r="H5" s="886" t="str">
        <f>IF(基本情報入力シート!L15="","",基本情報入力シート!L15)</f>
        <v/>
      </c>
      <c r="I5" s="886"/>
      <c r="J5" s="886"/>
      <c r="K5" s="886"/>
      <c r="L5" s="886"/>
      <c r="M5" s="886"/>
      <c r="N5" s="886"/>
      <c r="O5" s="886"/>
      <c r="P5" s="886"/>
      <c r="Q5" s="886"/>
      <c r="R5" s="886"/>
      <c r="S5" s="886"/>
      <c r="T5" s="886"/>
      <c r="U5" s="886"/>
      <c r="V5" s="886"/>
      <c r="W5" s="886"/>
      <c r="X5" s="886"/>
      <c r="Y5" s="886"/>
      <c r="Z5" s="886"/>
      <c r="AA5" s="886"/>
      <c r="AB5" s="886"/>
      <c r="AC5" s="886"/>
      <c r="AD5" s="886"/>
      <c r="AE5" s="886"/>
      <c r="AF5" s="886"/>
      <c r="AG5" s="886"/>
      <c r="AH5" s="886"/>
      <c r="AI5" s="886"/>
      <c r="AJ5" s="886"/>
      <c r="AK5" s="887"/>
      <c r="AL5" s="247"/>
      <c r="AM5" s="247"/>
      <c r="AN5" s="247"/>
      <c r="AO5" s="247"/>
      <c r="AP5" s="247"/>
      <c r="AQ5" s="247"/>
      <c r="AR5" s="247"/>
      <c r="AS5" s="247"/>
      <c r="AT5" s="247"/>
      <c r="AU5" s="247"/>
      <c r="AV5" s="247"/>
      <c r="AW5" s="247"/>
      <c r="AX5" s="247"/>
      <c r="AY5" s="247"/>
    </row>
    <row r="6" spans="1:51" s="12" customFormat="1" ht="25.5" customHeight="1">
      <c r="A6" s="247"/>
      <c r="B6" s="888" t="s">
        <v>53</v>
      </c>
      <c r="C6" s="888"/>
      <c r="D6" s="888"/>
      <c r="E6" s="888"/>
      <c r="F6" s="888"/>
      <c r="G6" s="888"/>
      <c r="H6" s="889" t="str">
        <f>IF(基本情報入力シート!L16="","",基本情報入力シート!L16)</f>
        <v/>
      </c>
      <c r="I6" s="889"/>
      <c r="J6" s="889"/>
      <c r="K6" s="889"/>
      <c r="L6" s="889"/>
      <c r="M6" s="889"/>
      <c r="N6" s="889"/>
      <c r="O6" s="889"/>
      <c r="P6" s="889"/>
      <c r="Q6" s="889"/>
      <c r="R6" s="889"/>
      <c r="S6" s="889"/>
      <c r="T6" s="889"/>
      <c r="U6" s="889"/>
      <c r="V6" s="889"/>
      <c r="W6" s="889"/>
      <c r="X6" s="889"/>
      <c r="Y6" s="889"/>
      <c r="Z6" s="889"/>
      <c r="AA6" s="889"/>
      <c r="AB6" s="889"/>
      <c r="AC6" s="889"/>
      <c r="AD6" s="889"/>
      <c r="AE6" s="889"/>
      <c r="AF6" s="889"/>
      <c r="AG6" s="889"/>
      <c r="AH6" s="889"/>
      <c r="AI6" s="889"/>
      <c r="AJ6" s="889"/>
      <c r="AK6" s="890"/>
      <c r="AL6" s="247"/>
      <c r="AM6" s="247"/>
      <c r="AN6" s="247"/>
      <c r="AO6" s="247"/>
      <c r="AP6" s="247"/>
      <c r="AQ6" s="247"/>
      <c r="AR6" s="247"/>
      <c r="AS6" s="247"/>
      <c r="AT6" s="247"/>
      <c r="AU6" s="247"/>
      <c r="AV6" s="247"/>
      <c r="AW6" s="247"/>
      <c r="AX6" s="247"/>
      <c r="AY6" s="247"/>
    </row>
    <row r="7" spans="1:51" s="12" customFormat="1" ht="12.75" customHeight="1">
      <c r="A7" s="247"/>
      <c r="B7" s="891" t="s">
        <v>54</v>
      </c>
      <c r="C7" s="891"/>
      <c r="D7" s="891"/>
      <c r="E7" s="891"/>
      <c r="F7" s="891"/>
      <c r="G7" s="891"/>
      <c r="H7" s="248" t="s">
        <v>14</v>
      </c>
      <c r="I7" s="892" t="str">
        <f>IF(基本情報入力シート!AO18="－","",基本情報入力シート!AO18)</f>
        <v>-</v>
      </c>
      <c r="J7" s="892"/>
      <c r="K7" s="892"/>
      <c r="L7" s="892"/>
      <c r="M7" s="249"/>
      <c r="N7" s="249"/>
      <c r="O7" s="249"/>
      <c r="P7" s="249"/>
      <c r="Q7" s="249"/>
      <c r="R7" s="249"/>
      <c r="S7" s="249"/>
      <c r="T7" s="249"/>
      <c r="U7" s="249"/>
      <c r="V7" s="249"/>
      <c r="W7" s="249"/>
      <c r="X7" s="249"/>
      <c r="Y7" s="249"/>
      <c r="Z7" s="249"/>
      <c r="AA7" s="249"/>
      <c r="AB7" s="249"/>
      <c r="AC7" s="249"/>
      <c r="AD7" s="249"/>
      <c r="AE7" s="249"/>
      <c r="AF7" s="249"/>
      <c r="AG7" s="249"/>
      <c r="AH7" s="249"/>
      <c r="AI7" s="249"/>
      <c r="AJ7" s="249"/>
      <c r="AK7" s="250"/>
      <c r="AL7" s="247"/>
      <c r="AM7" s="247"/>
      <c r="AN7" s="247"/>
      <c r="AO7" s="247"/>
      <c r="AP7" s="247"/>
      <c r="AQ7" s="247"/>
      <c r="AR7" s="247"/>
      <c r="AS7" s="247"/>
      <c r="AT7" s="247"/>
      <c r="AU7" s="247"/>
      <c r="AV7" s="247"/>
      <c r="AW7" s="247"/>
      <c r="AX7" s="247"/>
      <c r="AY7" s="247"/>
    </row>
    <row r="8" spans="1:51" s="12" customFormat="1" ht="16.5" customHeight="1">
      <c r="A8" s="247"/>
      <c r="B8" s="891"/>
      <c r="C8" s="891"/>
      <c r="D8" s="891"/>
      <c r="E8" s="891"/>
      <c r="F8" s="891"/>
      <c r="G8" s="891"/>
      <c r="H8" s="893" t="str">
        <f>IF(基本情報入力シート!L18="","",基本情報入力シート!L18)</f>
        <v/>
      </c>
      <c r="I8" s="893"/>
      <c r="J8" s="893"/>
      <c r="K8" s="893"/>
      <c r="L8" s="893"/>
      <c r="M8" s="893"/>
      <c r="N8" s="893"/>
      <c r="O8" s="893"/>
      <c r="P8" s="893"/>
      <c r="Q8" s="893"/>
      <c r="R8" s="893"/>
      <c r="S8" s="893"/>
      <c r="T8" s="893"/>
      <c r="U8" s="893"/>
      <c r="V8" s="893"/>
      <c r="W8" s="893"/>
      <c r="X8" s="893"/>
      <c r="Y8" s="893"/>
      <c r="Z8" s="893"/>
      <c r="AA8" s="893"/>
      <c r="AB8" s="893"/>
      <c r="AC8" s="893"/>
      <c r="AD8" s="893"/>
      <c r="AE8" s="893"/>
      <c r="AF8" s="893"/>
      <c r="AG8" s="893"/>
      <c r="AH8" s="893"/>
      <c r="AI8" s="893"/>
      <c r="AJ8" s="893"/>
      <c r="AK8" s="893"/>
      <c r="AL8" s="247"/>
      <c r="AM8" s="247"/>
      <c r="AN8" s="247"/>
      <c r="AO8" s="247"/>
      <c r="AP8" s="247"/>
      <c r="AQ8" s="247"/>
      <c r="AR8" s="247"/>
      <c r="AS8" s="247"/>
      <c r="AT8" s="247"/>
      <c r="AU8" s="247"/>
      <c r="AV8" s="247"/>
      <c r="AW8" s="247"/>
      <c r="AX8" s="247"/>
      <c r="AY8" s="247" t="b">
        <v>1</v>
      </c>
    </row>
    <row r="9" spans="1:51" s="12" customFormat="1" ht="16.5" customHeight="1">
      <c r="A9" s="247"/>
      <c r="B9" s="891"/>
      <c r="C9" s="891"/>
      <c r="D9" s="891"/>
      <c r="E9" s="891"/>
      <c r="F9" s="891"/>
      <c r="G9" s="891"/>
      <c r="H9" s="894" t="str">
        <f>IF(基本情報入力シート!L19="","",基本情報入力シート!L19)</f>
        <v/>
      </c>
      <c r="I9" s="894"/>
      <c r="J9" s="894"/>
      <c r="K9" s="894"/>
      <c r="L9" s="894"/>
      <c r="M9" s="894"/>
      <c r="N9" s="894"/>
      <c r="O9" s="894"/>
      <c r="P9" s="894"/>
      <c r="Q9" s="894"/>
      <c r="R9" s="894"/>
      <c r="S9" s="894"/>
      <c r="T9" s="894"/>
      <c r="U9" s="894"/>
      <c r="V9" s="894"/>
      <c r="W9" s="894"/>
      <c r="X9" s="894"/>
      <c r="Y9" s="894"/>
      <c r="Z9" s="894"/>
      <c r="AA9" s="894"/>
      <c r="AB9" s="894"/>
      <c r="AC9" s="894"/>
      <c r="AD9" s="894"/>
      <c r="AE9" s="894"/>
      <c r="AF9" s="894"/>
      <c r="AG9" s="894"/>
      <c r="AH9" s="894"/>
      <c r="AI9" s="894"/>
      <c r="AJ9" s="894"/>
      <c r="AK9" s="895"/>
      <c r="AL9" s="247"/>
      <c r="AM9" s="247"/>
      <c r="AN9" s="247"/>
      <c r="AO9" s="247"/>
      <c r="AP9" s="247"/>
      <c r="AQ9" s="247"/>
      <c r="AR9" s="247"/>
      <c r="AS9" s="247"/>
      <c r="AT9" s="247"/>
      <c r="AU9" s="247"/>
      <c r="AV9" s="247"/>
      <c r="AW9" s="247"/>
      <c r="AX9" s="247"/>
      <c r="AY9" s="247"/>
    </row>
    <row r="10" spans="1:51" s="12" customFormat="1" ht="13.5" customHeight="1">
      <c r="A10" s="247"/>
      <c r="B10" s="904" t="s">
        <v>11</v>
      </c>
      <c r="C10" s="904"/>
      <c r="D10" s="904"/>
      <c r="E10" s="904"/>
      <c r="F10" s="904"/>
      <c r="G10" s="904"/>
      <c r="H10" s="886" t="str">
        <f>IF(基本情報入力シート!L23="","",基本情報入力シート!L23)</f>
        <v/>
      </c>
      <c r="I10" s="886"/>
      <c r="J10" s="886"/>
      <c r="K10" s="886"/>
      <c r="L10" s="886"/>
      <c r="M10" s="886"/>
      <c r="N10" s="886"/>
      <c r="O10" s="886"/>
      <c r="P10" s="886"/>
      <c r="Q10" s="886"/>
      <c r="R10" s="886"/>
      <c r="S10" s="886"/>
      <c r="T10" s="886"/>
      <c r="U10" s="886"/>
      <c r="V10" s="886"/>
      <c r="W10" s="886"/>
      <c r="X10" s="886"/>
      <c r="Y10" s="886"/>
      <c r="Z10" s="886"/>
      <c r="AA10" s="886"/>
      <c r="AB10" s="886"/>
      <c r="AC10" s="886"/>
      <c r="AD10" s="886"/>
      <c r="AE10" s="886"/>
      <c r="AF10" s="886"/>
      <c r="AG10" s="886"/>
      <c r="AH10" s="886"/>
      <c r="AI10" s="886"/>
      <c r="AJ10" s="886"/>
      <c r="AK10" s="887"/>
      <c r="AL10" s="247"/>
      <c r="AM10" s="247"/>
      <c r="AN10" s="247"/>
      <c r="AO10" s="247"/>
      <c r="AP10" s="247"/>
      <c r="AQ10" s="247"/>
      <c r="AR10" s="247"/>
      <c r="AS10" s="247"/>
      <c r="AT10" s="247"/>
      <c r="AU10" s="247"/>
      <c r="AV10" s="247"/>
      <c r="AW10" s="247"/>
      <c r="AX10" s="247"/>
      <c r="AY10" s="247"/>
    </row>
    <row r="11" spans="1:51" s="12" customFormat="1" ht="22.5" customHeight="1">
      <c r="A11" s="247"/>
      <c r="B11" s="905" t="s">
        <v>55</v>
      </c>
      <c r="C11" s="905"/>
      <c r="D11" s="905"/>
      <c r="E11" s="905"/>
      <c r="F11" s="905"/>
      <c r="G11" s="905"/>
      <c r="H11" s="906" t="str">
        <f>IF(基本情報入力シート!L24="","",基本情報入力シート!L24)</f>
        <v/>
      </c>
      <c r="I11" s="906"/>
      <c r="J11" s="906"/>
      <c r="K11" s="906"/>
      <c r="L11" s="906"/>
      <c r="M11" s="906"/>
      <c r="N11" s="906"/>
      <c r="O11" s="906"/>
      <c r="P11" s="906"/>
      <c r="Q11" s="906"/>
      <c r="R11" s="906"/>
      <c r="S11" s="906"/>
      <c r="T11" s="906"/>
      <c r="U11" s="906"/>
      <c r="V11" s="906"/>
      <c r="W11" s="906"/>
      <c r="X11" s="906"/>
      <c r="Y11" s="906"/>
      <c r="Z11" s="906"/>
      <c r="AA11" s="906"/>
      <c r="AB11" s="906"/>
      <c r="AC11" s="906"/>
      <c r="AD11" s="906"/>
      <c r="AE11" s="906"/>
      <c r="AF11" s="906"/>
      <c r="AG11" s="906"/>
      <c r="AH11" s="906"/>
      <c r="AI11" s="906"/>
      <c r="AJ11" s="906"/>
      <c r="AK11" s="907"/>
      <c r="AL11" s="247"/>
      <c r="AM11" s="247"/>
      <c r="AN11" s="247"/>
      <c r="AO11" s="247"/>
      <c r="AP11" s="247"/>
      <c r="AQ11" s="247"/>
      <c r="AR11" s="247"/>
      <c r="AS11" s="247"/>
      <c r="AT11" s="247"/>
      <c r="AU11" s="247"/>
      <c r="AV11" s="247"/>
      <c r="AW11" s="247"/>
      <c r="AX11" s="247"/>
      <c r="AY11" s="247"/>
    </row>
    <row r="12" spans="1:51" s="12" customFormat="1" ht="18.75" customHeight="1">
      <c r="A12" s="247"/>
      <c r="B12" s="908" t="s">
        <v>56</v>
      </c>
      <c r="C12" s="908"/>
      <c r="D12" s="908"/>
      <c r="E12" s="908"/>
      <c r="F12" s="908"/>
      <c r="G12" s="908"/>
      <c r="H12" s="908" t="s">
        <v>25</v>
      </c>
      <c r="I12" s="909"/>
      <c r="J12" s="909"/>
      <c r="K12" s="909"/>
      <c r="L12" s="898" t="str">
        <f>IF(基本情報入力シート!L25="","",基本情報入力シート!L25)</f>
        <v/>
      </c>
      <c r="M12" s="898"/>
      <c r="N12" s="898"/>
      <c r="O12" s="898"/>
      <c r="P12" s="898"/>
      <c r="Q12" s="898"/>
      <c r="R12" s="898"/>
      <c r="S12" s="898"/>
      <c r="T12" s="898"/>
      <c r="U12" s="898"/>
      <c r="V12" s="910" t="s">
        <v>26</v>
      </c>
      <c r="W12" s="910"/>
      <c r="X12" s="910"/>
      <c r="Y12" s="910"/>
      <c r="Z12" s="898" t="str">
        <f>IF(基本情報入力シート!L26="","",基本情報入力シート!L26)</f>
        <v/>
      </c>
      <c r="AA12" s="898"/>
      <c r="AB12" s="898"/>
      <c r="AC12" s="898"/>
      <c r="AD12" s="898"/>
      <c r="AE12" s="898"/>
      <c r="AF12" s="898"/>
      <c r="AG12" s="898"/>
      <c r="AH12" s="898"/>
      <c r="AI12" s="898"/>
      <c r="AJ12" s="898"/>
      <c r="AK12" s="899"/>
      <c r="AL12" s="247"/>
      <c r="AM12" s="247"/>
      <c r="AN12" s="247"/>
      <c r="AO12" s="247"/>
      <c r="AP12" s="247"/>
      <c r="AQ12" s="247"/>
      <c r="AR12" s="247"/>
      <c r="AS12" s="247"/>
      <c r="AT12" s="247"/>
      <c r="AU12" s="247"/>
      <c r="AV12" s="247"/>
      <c r="AW12" s="247"/>
      <c r="AX12" s="247"/>
      <c r="AY12" s="247"/>
    </row>
    <row r="13" spans="1:51" ht="7.5" customHeight="1">
      <c r="A13" s="15"/>
      <c r="B13" s="241"/>
      <c r="C13" s="241"/>
      <c r="D13" s="241"/>
      <c r="E13" s="241"/>
      <c r="F13" s="241"/>
      <c r="G13" s="241"/>
      <c r="H13" s="241"/>
      <c r="I13" s="241"/>
      <c r="J13" s="241"/>
      <c r="K13" s="241"/>
      <c r="L13" s="241"/>
      <c r="M13" s="241"/>
      <c r="N13" s="241"/>
      <c r="O13" s="241"/>
      <c r="P13" s="241"/>
      <c r="Q13" s="241"/>
      <c r="R13" s="241"/>
      <c r="S13" s="241"/>
      <c r="T13" s="241"/>
      <c r="U13" s="241"/>
      <c r="V13" s="241"/>
      <c r="W13" s="241"/>
      <c r="X13" s="241"/>
      <c r="Y13" s="241"/>
      <c r="Z13" s="241"/>
      <c r="AA13" s="241"/>
      <c r="AB13" s="241"/>
      <c r="AC13" s="241"/>
      <c r="AD13" s="241"/>
      <c r="AE13" s="241"/>
      <c r="AF13" s="241"/>
      <c r="AG13" s="241"/>
      <c r="AH13" s="241"/>
      <c r="AI13" s="241"/>
      <c r="AJ13" s="241"/>
      <c r="AK13" s="241"/>
      <c r="AL13" s="15"/>
      <c r="AM13" s="15"/>
      <c r="AN13" s="15"/>
      <c r="AO13" s="15"/>
      <c r="AP13" s="15"/>
      <c r="AQ13" s="15"/>
      <c r="AR13" s="15"/>
      <c r="AS13" s="15"/>
      <c r="AT13" s="15"/>
      <c r="AU13" s="15"/>
      <c r="AV13" s="15"/>
      <c r="AW13" s="15"/>
      <c r="AX13" s="15"/>
      <c r="AY13" s="15"/>
    </row>
    <row r="14" spans="1:51" ht="21.6" customHeight="1">
      <c r="A14" s="15"/>
      <c r="B14" s="251" t="s">
        <v>57</v>
      </c>
      <c r="C14" s="252"/>
      <c r="D14" s="252"/>
      <c r="E14" s="252"/>
      <c r="F14" s="252"/>
      <c r="G14" s="252"/>
      <c r="H14" s="252"/>
      <c r="I14" s="252"/>
      <c r="J14" s="252"/>
      <c r="K14" s="252"/>
      <c r="L14" s="252"/>
      <c r="M14" s="252"/>
      <c r="N14" s="252"/>
      <c r="O14" s="252"/>
      <c r="P14" s="252"/>
      <c r="Q14" s="252"/>
      <c r="R14" s="252"/>
      <c r="S14" s="252"/>
      <c r="T14" s="252"/>
      <c r="U14" s="252"/>
      <c r="V14" s="252"/>
      <c r="W14" s="252"/>
      <c r="X14" s="252"/>
      <c r="Y14" s="252"/>
      <c r="Z14" s="252"/>
      <c r="AA14" s="252"/>
      <c r="AB14" s="252"/>
      <c r="AC14" s="252"/>
      <c r="AD14" s="252"/>
      <c r="AE14" s="252"/>
      <c r="AF14" s="252"/>
      <c r="AG14" s="252"/>
      <c r="AH14" s="252"/>
      <c r="AI14" s="252"/>
      <c r="AJ14" s="252"/>
      <c r="AK14" s="252"/>
      <c r="AL14" s="15"/>
      <c r="AM14" s="15"/>
      <c r="AN14" s="15"/>
      <c r="AO14" s="15"/>
      <c r="AP14" s="15"/>
      <c r="AQ14" s="15"/>
      <c r="AR14" s="15"/>
      <c r="AS14" s="15"/>
      <c r="AT14" s="15"/>
      <c r="AU14" s="15"/>
      <c r="AV14" s="15"/>
      <c r="AW14" s="15"/>
      <c r="AX14" s="15"/>
      <c r="AY14" s="15"/>
    </row>
    <row r="15" spans="1:51" ht="18.75" customHeight="1">
      <c r="B15" s="901" t="s">
        <v>58</v>
      </c>
      <c r="C15" s="901"/>
      <c r="D15" s="901"/>
      <c r="E15" s="901"/>
      <c r="F15" s="901"/>
      <c r="G15" s="901"/>
      <c r="H15" s="901"/>
      <c r="I15" s="901"/>
      <c r="J15" s="901"/>
      <c r="K15" s="901"/>
      <c r="L15" s="901"/>
      <c r="M15" s="901"/>
      <c r="N15" s="901"/>
      <c r="O15" s="901"/>
      <c r="P15" s="901"/>
      <c r="Q15" s="901"/>
      <c r="R15" s="901"/>
      <c r="S15" s="901"/>
      <c r="T15" s="901"/>
      <c r="U15" s="901"/>
      <c r="V15" s="901"/>
      <c r="W15" s="902"/>
      <c r="X15" s="241"/>
      <c r="Y15" s="241"/>
      <c r="Z15" s="241"/>
      <c r="AA15" s="241"/>
      <c r="AB15" s="241"/>
      <c r="AC15" s="241"/>
      <c r="AD15" s="241"/>
      <c r="AE15" s="241"/>
      <c r="AF15" s="241"/>
      <c r="AG15" s="241"/>
      <c r="AH15" s="241"/>
      <c r="AI15" s="241"/>
      <c r="AJ15" s="241"/>
      <c r="AK15" s="241"/>
      <c r="AL15" s="15"/>
      <c r="AM15" s="15"/>
      <c r="AN15" s="15"/>
      <c r="AO15" s="15"/>
      <c r="AP15" s="15"/>
      <c r="AQ15" s="15"/>
      <c r="AR15" s="15"/>
      <c r="AS15" s="15"/>
      <c r="AT15" s="15"/>
      <c r="AU15" s="15"/>
      <c r="AV15" s="15"/>
      <c r="AW15" s="15"/>
      <c r="AX15" s="15"/>
      <c r="AY15" s="15"/>
    </row>
    <row r="16" spans="1:51" ht="26.25" customHeight="1" thickBot="1">
      <c r="A16" s="15"/>
      <c r="B16" s="253" t="s">
        <v>59</v>
      </c>
      <c r="C16" s="879" t="s">
        <v>60</v>
      </c>
      <c r="D16" s="879"/>
      <c r="E16" s="879"/>
      <c r="F16" s="879"/>
      <c r="G16" s="879"/>
      <c r="H16" s="879"/>
      <c r="I16" s="879"/>
      <c r="J16" s="879"/>
      <c r="K16" s="879"/>
      <c r="L16" s="879"/>
      <c r="M16" s="879"/>
      <c r="N16" s="879"/>
      <c r="O16" s="879"/>
      <c r="P16" s="879"/>
      <c r="Q16" s="903">
        <f>SUM('別紙様式2-2（個票（４、５月））'!L5:M5,'別紙様式2-3（個票（６月以降））'!K6)</f>
        <v>0</v>
      </c>
      <c r="R16" s="903"/>
      <c r="S16" s="903"/>
      <c r="T16" s="903"/>
      <c r="U16" s="903"/>
      <c r="V16" s="903"/>
      <c r="W16" s="254" t="s">
        <v>61</v>
      </c>
      <c r="X16" s="15"/>
      <c r="Y16" s="15"/>
      <c r="Z16" s="241"/>
      <c r="AA16" s="241"/>
      <c r="AB16" s="241"/>
      <c r="AC16" s="241"/>
      <c r="AD16" s="15"/>
      <c r="AE16" s="15"/>
      <c r="AF16" s="15"/>
      <c r="AG16" s="15"/>
      <c r="AH16" s="15"/>
      <c r="AI16" s="15"/>
      <c r="AJ16" s="15"/>
      <c r="AK16" s="15"/>
      <c r="AL16" s="15"/>
      <c r="AM16" s="15"/>
      <c r="AN16" s="15"/>
      <c r="AO16" s="15"/>
      <c r="AP16" s="15"/>
      <c r="AQ16" s="15"/>
      <c r="AR16" s="15"/>
      <c r="AS16" s="15"/>
      <c r="AT16" s="15"/>
      <c r="AU16" s="15"/>
      <c r="AV16" s="15"/>
      <c r="AW16" s="15"/>
      <c r="AX16" s="15"/>
      <c r="AY16" s="15"/>
    </row>
    <row r="17" spans="1:60" ht="38.450000000000003" customHeight="1" thickBot="1">
      <c r="A17" s="15"/>
      <c r="B17" s="255" t="s">
        <v>62</v>
      </c>
      <c r="C17" s="896" t="s">
        <v>63</v>
      </c>
      <c r="D17" s="896"/>
      <c r="E17" s="896"/>
      <c r="F17" s="896"/>
      <c r="G17" s="896"/>
      <c r="H17" s="896"/>
      <c r="I17" s="896"/>
      <c r="J17" s="896"/>
      <c r="K17" s="896"/>
      <c r="L17" s="896"/>
      <c r="M17" s="896"/>
      <c r="N17" s="896"/>
      <c r="O17" s="896"/>
      <c r="P17" s="896"/>
      <c r="Q17" s="897"/>
      <c r="R17" s="897"/>
      <c r="S17" s="897"/>
      <c r="T17" s="897"/>
      <c r="U17" s="897"/>
      <c r="V17" s="897"/>
      <c r="W17" s="256" t="s">
        <v>61</v>
      </c>
      <c r="X17" s="241" t="s">
        <v>64</v>
      </c>
      <c r="Y17" s="257" t="str">
        <f>IF(H6="","",IF(Q17&gt;=Q16,"○","×"))</f>
        <v/>
      </c>
      <c r="Z17" s="241"/>
      <c r="AA17" s="258"/>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row>
    <row r="18" spans="1:60" ht="6" customHeight="1">
      <c r="A18" s="241"/>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259"/>
      <c r="AV18" s="260"/>
      <c r="AW18" s="15"/>
      <c r="AX18" s="15"/>
      <c r="AY18" s="15"/>
    </row>
    <row r="19" spans="1:60" ht="16.5" customHeight="1">
      <c r="A19" s="261"/>
      <c r="B19" s="262" t="s">
        <v>65</v>
      </c>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row>
    <row r="20" spans="1:60" ht="25.15" customHeight="1">
      <c r="A20" s="15"/>
      <c r="B20" s="263" t="s">
        <v>66</v>
      </c>
      <c r="C20" s="900" t="s">
        <v>67</v>
      </c>
      <c r="D20" s="900"/>
      <c r="E20" s="900"/>
      <c r="F20" s="900"/>
      <c r="G20" s="900"/>
      <c r="H20" s="900"/>
      <c r="I20" s="900"/>
      <c r="J20" s="900"/>
      <c r="K20" s="900"/>
      <c r="L20" s="900"/>
      <c r="M20" s="900"/>
      <c r="N20" s="900"/>
      <c r="O20" s="900"/>
      <c r="P20" s="900"/>
      <c r="Q20" s="900"/>
      <c r="R20" s="900"/>
      <c r="S20" s="900"/>
      <c r="T20" s="900"/>
      <c r="U20" s="900"/>
      <c r="V20" s="900"/>
      <c r="W20" s="900"/>
      <c r="X20" s="900"/>
      <c r="Y20" s="900"/>
      <c r="Z20" s="900"/>
      <c r="AA20" s="900"/>
      <c r="AB20" s="900"/>
      <c r="AC20" s="900"/>
      <c r="AD20" s="900"/>
      <c r="AE20" s="900"/>
      <c r="AF20" s="900"/>
      <c r="AG20" s="900"/>
      <c r="AH20" s="900"/>
      <c r="AI20" s="900"/>
      <c r="AJ20" s="900"/>
      <c r="AK20" s="900"/>
      <c r="AL20" s="15"/>
      <c r="AM20" s="15"/>
      <c r="AN20" s="15"/>
      <c r="AO20" s="15"/>
      <c r="AP20" s="15"/>
      <c r="AQ20" s="15"/>
      <c r="AR20" s="15"/>
      <c r="AS20" s="15"/>
      <c r="AT20" s="15"/>
      <c r="AU20" s="15"/>
      <c r="AV20" s="15"/>
      <c r="AW20" s="15"/>
      <c r="AX20" s="15"/>
      <c r="AY20" s="15"/>
    </row>
    <row r="21" spans="1:60" ht="6" customHeight="1">
      <c r="A21" s="15"/>
      <c r="B21" s="264"/>
      <c r="C21" s="264"/>
      <c r="D21" s="264"/>
      <c r="E21" s="264"/>
      <c r="F21" s="265"/>
      <c r="G21" s="266"/>
      <c r="H21" s="266"/>
      <c r="I21" s="266"/>
      <c r="J21" s="266"/>
      <c r="K21" s="266"/>
      <c r="L21" s="266"/>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267"/>
      <c r="AL21" s="247"/>
      <c r="AM21" s="247"/>
      <c r="AN21" s="15"/>
      <c r="AO21" s="15"/>
      <c r="AP21" s="15"/>
      <c r="AQ21" s="15"/>
      <c r="AR21" s="15"/>
      <c r="AS21" s="15"/>
      <c r="AT21" s="15"/>
      <c r="AU21" s="15"/>
      <c r="AV21" s="15"/>
      <c r="AW21" s="268"/>
      <c r="AX21" s="15"/>
      <c r="AY21" s="15"/>
    </row>
    <row r="22" spans="1:60" ht="21" customHeight="1">
      <c r="A22" s="15"/>
      <c r="B22" s="877" t="s">
        <v>68</v>
      </c>
      <c r="C22" s="877"/>
      <c r="D22" s="877"/>
      <c r="E22" s="877"/>
      <c r="F22" s="877"/>
      <c r="G22" s="877"/>
      <c r="H22" s="877"/>
      <c r="I22" s="877"/>
      <c r="J22" s="877"/>
      <c r="K22" s="877"/>
      <c r="L22" s="877"/>
      <c r="M22" s="877"/>
      <c r="N22" s="877"/>
      <c r="O22" s="877"/>
      <c r="P22" s="877"/>
      <c r="Q22" s="877"/>
      <c r="R22" s="877"/>
      <c r="S22" s="877"/>
      <c r="T22" s="877"/>
      <c r="U22" s="877"/>
      <c r="V22" s="877"/>
      <c r="W22" s="877"/>
      <c r="X22" s="877"/>
      <c r="Y22" s="877"/>
      <c r="Z22" s="877"/>
      <c r="AA22" s="877"/>
      <c r="AB22" s="877"/>
      <c r="AC22" s="877"/>
      <c r="AD22" s="877"/>
      <c r="AE22" s="877"/>
      <c r="AF22" s="877"/>
      <c r="AG22" s="877"/>
      <c r="AH22" s="877"/>
      <c r="AI22" s="877"/>
      <c r="AJ22" s="877"/>
      <c r="AK22" s="877"/>
      <c r="AL22" s="15"/>
      <c r="AM22" s="15"/>
      <c r="AN22" s="15"/>
      <c r="AO22" s="15"/>
      <c r="AP22" s="15"/>
      <c r="AQ22" s="15"/>
      <c r="AR22" s="15"/>
      <c r="AS22" s="15"/>
      <c r="AT22" s="15"/>
      <c r="AU22" s="15"/>
      <c r="AV22" s="15"/>
      <c r="AW22" s="15"/>
      <c r="AX22" s="15"/>
      <c r="AY22" s="15"/>
    </row>
    <row r="23" spans="1:60" ht="19.149999999999999" customHeight="1" thickBot="1">
      <c r="A23" s="15"/>
      <c r="B23" s="878" t="s">
        <v>69</v>
      </c>
      <c r="C23" s="878"/>
      <c r="D23" s="878"/>
      <c r="E23" s="878"/>
      <c r="F23" s="878"/>
      <c r="G23" s="878"/>
      <c r="H23" s="878"/>
      <c r="I23" s="878"/>
      <c r="J23" s="878"/>
      <c r="K23" s="878"/>
      <c r="L23" s="878"/>
      <c r="M23" s="878"/>
      <c r="N23" s="878"/>
      <c r="O23" s="878"/>
      <c r="P23" s="878"/>
      <c r="Q23" s="878"/>
      <c r="R23" s="878"/>
      <c r="S23" s="878"/>
      <c r="T23" s="878"/>
      <c r="U23" s="878"/>
      <c r="V23" s="878"/>
      <c r="W23" s="878"/>
      <c r="X23" s="878"/>
      <c r="Y23" s="878"/>
      <c r="Z23" s="878"/>
      <c r="AA23" s="878"/>
      <c r="AB23" s="878"/>
      <c r="AC23" s="878"/>
      <c r="AD23" s="878"/>
      <c r="AE23" s="878"/>
      <c r="AF23" s="878"/>
      <c r="AG23" s="878"/>
      <c r="AH23" s="878"/>
      <c r="AI23" s="878"/>
      <c r="AJ23" s="878"/>
      <c r="AK23" s="878"/>
      <c r="AL23" s="15"/>
      <c r="AM23" s="15"/>
      <c r="AN23" s="15"/>
      <c r="AO23" s="15"/>
      <c r="AP23" s="15"/>
      <c r="AQ23" s="15"/>
      <c r="AR23" s="15"/>
      <c r="AS23" s="268"/>
      <c r="AT23" s="15"/>
      <c r="AU23" s="15"/>
      <c r="AV23" s="15"/>
      <c r="AW23" s="15"/>
      <c r="AX23" s="15"/>
      <c r="AY23" s="15"/>
    </row>
    <row r="24" spans="1:60" ht="18" customHeight="1" thickBot="1">
      <c r="A24" s="15"/>
      <c r="B24" s="869" t="s">
        <v>70</v>
      </c>
      <c r="C24" s="869"/>
      <c r="D24" s="869"/>
      <c r="E24" s="869"/>
      <c r="F24" s="869"/>
      <c r="G24" s="869"/>
      <c r="H24" s="869"/>
      <c r="I24" s="869"/>
      <c r="J24" s="869"/>
      <c r="K24" s="869"/>
      <c r="L24" s="869"/>
      <c r="M24" s="869"/>
      <c r="N24" s="869"/>
      <c r="O24" s="869"/>
      <c r="P24" s="869"/>
      <c r="Q24" s="869"/>
      <c r="R24" s="869"/>
      <c r="S24" s="869"/>
      <c r="T24" s="869"/>
      <c r="U24" s="869"/>
      <c r="V24" s="869"/>
      <c r="W24" s="869"/>
      <c r="X24" s="869"/>
      <c r="Y24" s="869"/>
      <c r="Z24" s="869"/>
      <c r="AA24" s="269"/>
      <c r="AB24" s="269"/>
      <c r="AC24" s="269"/>
      <c r="AD24" s="269"/>
      <c r="AE24" s="269"/>
      <c r="AF24" s="269"/>
      <c r="AG24" s="269"/>
      <c r="AH24" s="269"/>
      <c r="AI24" s="269"/>
      <c r="AJ24" s="270"/>
      <c r="AK24" s="271" t="str" cm="1">
        <f t="array" ref="AK24">IF(H6="", "", IF(AND('別紙様式2-2（個票（４、５月））'!AC9:AC9="○",'別紙様式2-3（個票（６月以降））'!AC9:AC9="○"), "○", "×"))</f>
        <v/>
      </c>
      <c r="AL24" s="268"/>
      <c r="AM24" s="15"/>
      <c r="AN24" s="15"/>
      <c r="AO24" s="15"/>
      <c r="AP24" s="15"/>
      <c r="AQ24" s="15"/>
      <c r="AR24" s="268"/>
      <c r="AS24" s="15"/>
      <c r="AT24" s="15"/>
      <c r="AU24" s="15"/>
      <c r="AV24" s="15"/>
      <c r="AW24" s="15"/>
      <c r="AX24" s="15"/>
    </row>
    <row r="25" spans="1:60" ht="18" customHeight="1" thickBot="1">
      <c r="A25" s="15"/>
      <c r="B25" s="272" t="s">
        <v>59</v>
      </c>
      <c r="C25" s="879" t="s">
        <v>71</v>
      </c>
      <c r="D25" s="879"/>
      <c r="E25" s="879"/>
      <c r="F25" s="879"/>
      <c r="G25" s="879"/>
      <c r="H25" s="879"/>
      <c r="I25" s="879"/>
      <c r="J25" s="879"/>
      <c r="K25" s="879"/>
      <c r="L25" s="879"/>
      <c r="M25" s="879"/>
      <c r="N25" s="879"/>
      <c r="O25" s="879"/>
      <c r="P25" s="879"/>
      <c r="Q25" s="879"/>
      <c r="R25" s="879"/>
      <c r="S25" s="879"/>
      <c r="T25" s="880">
        <f>SUM('別紙様式2-2（個票（４、５月））'!L6:L6,'別紙様式2-3（個票（６月以降））'!K7)</f>
        <v>0</v>
      </c>
      <c r="U25" s="880"/>
      <c r="V25" s="880"/>
      <c r="W25" s="880"/>
      <c r="X25" s="880"/>
      <c r="Y25" s="880"/>
      <c r="Z25" s="273" t="s">
        <v>61</v>
      </c>
      <c r="AA25" s="274" t="s">
        <v>64</v>
      </c>
      <c r="AB25" s="881" t="str">
        <f>IF(H6="", "", IFERROR(IF(T26&gt;=T25,"○","×"),""))</f>
        <v/>
      </c>
      <c r="AC25" s="275"/>
      <c r="AD25" s="276"/>
      <c r="AE25" s="276"/>
      <c r="AF25" s="276"/>
      <c r="AG25" s="276"/>
      <c r="AH25" s="276"/>
      <c r="AI25" s="276"/>
      <c r="AJ25" s="276"/>
      <c r="AK25" s="276"/>
      <c r="AL25" s="15"/>
      <c r="AM25" s="817" t="s">
        <v>72</v>
      </c>
      <c r="AN25" s="818"/>
      <c r="AO25" s="818"/>
      <c r="AP25" s="818"/>
      <c r="AQ25" s="818"/>
      <c r="AR25" s="818"/>
      <c r="AS25" s="818"/>
      <c r="AT25" s="818"/>
      <c r="AU25" s="818"/>
      <c r="AV25" s="818"/>
      <c r="AW25" s="818"/>
      <c r="AX25" s="818"/>
      <c r="AY25" s="819"/>
    </row>
    <row r="26" spans="1:60" ht="28.5" customHeight="1" thickBot="1">
      <c r="A26" s="15"/>
      <c r="B26" s="272" t="s">
        <v>62</v>
      </c>
      <c r="C26" s="778" t="s">
        <v>73</v>
      </c>
      <c r="D26" s="778"/>
      <c r="E26" s="778"/>
      <c r="F26" s="778"/>
      <c r="G26" s="778"/>
      <c r="H26" s="778"/>
      <c r="I26" s="778"/>
      <c r="J26" s="778"/>
      <c r="K26" s="778"/>
      <c r="L26" s="778"/>
      <c r="M26" s="778"/>
      <c r="N26" s="778"/>
      <c r="O26" s="778"/>
      <c r="P26" s="778"/>
      <c r="Q26" s="778"/>
      <c r="R26" s="778"/>
      <c r="S26" s="778"/>
      <c r="T26" s="870">
        <v>0</v>
      </c>
      <c r="U26" s="870"/>
      <c r="V26" s="870"/>
      <c r="W26" s="870"/>
      <c r="X26" s="870"/>
      <c r="Y26" s="871"/>
      <c r="Z26" s="277" t="s">
        <v>61</v>
      </c>
      <c r="AA26" s="274" t="s">
        <v>64</v>
      </c>
      <c r="AB26" s="882"/>
      <c r="AC26" s="275"/>
      <c r="AD26" s="276"/>
      <c r="AE26" s="276"/>
      <c r="AF26" s="276"/>
      <c r="AG26" s="276"/>
      <c r="AH26" s="276"/>
      <c r="AI26" s="276"/>
      <c r="AJ26" s="276"/>
      <c r="AK26" s="276"/>
      <c r="AL26" s="15"/>
      <c r="AM26" s="820"/>
      <c r="AN26" s="821"/>
      <c r="AO26" s="821"/>
      <c r="AP26" s="821"/>
      <c r="AQ26" s="821"/>
      <c r="AR26" s="821"/>
      <c r="AS26" s="821"/>
      <c r="AT26" s="821"/>
      <c r="AU26" s="821"/>
      <c r="AV26" s="821"/>
      <c r="AW26" s="821"/>
      <c r="AX26" s="821"/>
      <c r="AY26" s="822"/>
    </row>
    <row r="27" spans="1:60" ht="3.75" customHeight="1">
      <c r="A27" s="15"/>
      <c r="B27" s="262"/>
      <c r="C27" s="278"/>
      <c r="D27" s="279"/>
      <c r="E27" s="279"/>
      <c r="F27" s="279"/>
      <c r="G27" s="279"/>
      <c r="H27" s="279"/>
      <c r="I27" s="279"/>
      <c r="J27" s="279"/>
      <c r="K27" s="279"/>
      <c r="L27" s="279"/>
      <c r="M27" s="279"/>
      <c r="N27" s="279"/>
      <c r="O27" s="279"/>
      <c r="P27" s="279"/>
      <c r="Q27" s="279"/>
      <c r="R27" s="279"/>
      <c r="S27" s="279"/>
      <c r="T27" s="279"/>
      <c r="U27" s="279"/>
      <c r="V27" s="279"/>
      <c r="W27" s="279"/>
      <c r="X27" s="279"/>
      <c r="Y27" s="279"/>
      <c r="Z27" s="279"/>
      <c r="AA27" s="279"/>
      <c r="AB27" s="279"/>
      <c r="AC27" s="279"/>
      <c r="AD27" s="279"/>
      <c r="AE27" s="279"/>
      <c r="AF27" s="279"/>
      <c r="AG27" s="279"/>
      <c r="AH27" s="279"/>
      <c r="AI27" s="279"/>
      <c r="AJ27" s="279"/>
      <c r="AK27" s="279"/>
      <c r="AL27" s="279"/>
      <c r="AM27" s="280"/>
      <c r="AN27" s="280"/>
      <c r="AO27" s="280"/>
      <c r="AP27" s="280"/>
      <c r="AQ27" s="15"/>
      <c r="AR27" s="15"/>
      <c r="AS27" s="15"/>
      <c r="AT27" s="15"/>
      <c r="AU27" s="15"/>
      <c r="AV27" s="15"/>
      <c r="AW27" s="15"/>
      <c r="AX27" s="268"/>
      <c r="AY27" s="15"/>
    </row>
    <row r="28" spans="1:60">
      <c r="A28" s="15"/>
      <c r="B28" s="262" t="s">
        <v>65</v>
      </c>
      <c r="C28" s="241"/>
      <c r="D28" s="241"/>
      <c r="E28" s="241"/>
      <c r="F28" s="241"/>
      <c r="G28" s="241"/>
      <c r="H28" s="241"/>
      <c r="I28" s="241"/>
      <c r="J28" s="241"/>
      <c r="K28" s="241"/>
      <c r="L28" s="241"/>
      <c r="M28" s="241"/>
      <c r="N28" s="241"/>
      <c r="O28" s="241"/>
      <c r="P28" s="241"/>
      <c r="Q28" s="241"/>
      <c r="R28" s="241"/>
      <c r="S28" s="241"/>
      <c r="T28" s="241"/>
      <c r="U28" s="241"/>
      <c r="V28" s="241"/>
      <c r="W28" s="241"/>
      <c r="X28" s="241"/>
      <c r="Y28" s="241"/>
      <c r="Z28" s="241"/>
      <c r="AA28" s="241"/>
      <c r="AB28" s="241"/>
      <c r="AC28" s="241"/>
      <c r="AD28" s="241"/>
      <c r="AE28" s="241"/>
      <c r="AF28" s="241"/>
      <c r="AG28" s="241"/>
      <c r="AH28" s="241"/>
      <c r="AI28" s="241"/>
      <c r="AJ28" s="241"/>
      <c r="AK28" s="241"/>
      <c r="AL28" s="281"/>
      <c r="AM28" s="280"/>
      <c r="AN28" s="280"/>
      <c r="AO28" s="280"/>
      <c r="AP28" s="280"/>
      <c r="AQ28" s="15"/>
      <c r="AR28" s="15"/>
      <c r="AS28" s="15"/>
      <c r="AT28" s="15"/>
      <c r="AU28" s="15"/>
      <c r="AV28" s="15"/>
      <c r="AW28" s="15"/>
      <c r="AX28" s="268"/>
      <c r="AY28" s="15"/>
    </row>
    <row r="29" spans="1:60" ht="13.9" customHeight="1">
      <c r="A29" s="15"/>
      <c r="B29" s="263" t="s">
        <v>66</v>
      </c>
      <c r="C29" s="876" t="s">
        <v>74</v>
      </c>
      <c r="D29" s="876"/>
      <c r="E29" s="876"/>
      <c r="F29" s="876"/>
      <c r="G29" s="876"/>
      <c r="H29" s="876"/>
      <c r="I29" s="876"/>
      <c r="J29" s="876"/>
      <c r="K29" s="876"/>
      <c r="L29" s="876"/>
      <c r="M29" s="876"/>
      <c r="N29" s="876"/>
      <c r="O29" s="876"/>
      <c r="P29" s="876"/>
      <c r="Q29" s="876"/>
      <c r="R29" s="876"/>
      <c r="S29" s="876"/>
      <c r="T29" s="876"/>
      <c r="U29" s="876"/>
      <c r="V29" s="876"/>
      <c r="W29" s="876"/>
      <c r="X29" s="876"/>
      <c r="Y29" s="876"/>
      <c r="Z29" s="876"/>
      <c r="AA29" s="876"/>
      <c r="AB29" s="876"/>
      <c r="AC29" s="876"/>
      <c r="AD29" s="876"/>
      <c r="AE29" s="876"/>
      <c r="AF29" s="876"/>
      <c r="AG29" s="876"/>
      <c r="AH29" s="876"/>
      <c r="AI29" s="876"/>
      <c r="AJ29" s="876"/>
      <c r="AK29" s="876"/>
      <c r="AL29" s="281"/>
      <c r="AM29" s="280"/>
      <c r="AN29" s="280"/>
      <c r="AO29" s="280"/>
      <c r="AP29" s="280"/>
      <c r="AQ29" s="15"/>
      <c r="AR29" s="15"/>
      <c r="AS29" s="15"/>
      <c r="AT29" s="15"/>
      <c r="AU29" s="15"/>
      <c r="AV29" s="15"/>
      <c r="AW29" s="15"/>
      <c r="AX29" s="268"/>
      <c r="AY29" s="15"/>
    </row>
    <row r="30" spans="1:60" ht="12.6" customHeight="1">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265"/>
      <c r="AK30" s="265"/>
      <c r="AL30" s="265"/>
      <c r="AM30" s="15"/>
      <c r="AN30" s="15"/>
      <c r="AO30" s="15"/>
      <c r="AP30" s="15"/>
      <c r="AQ30" s="15"/>
      <c r="AR30" s="15"/>
      <c r="AS30" s="15"/>
      <c r="AT30" s="15"/>
      <c r="AU30" s="15"/>
      <c r="AV30" s="15"/>
      <c r="AW30" s="15"/>
      <c r="AX30" s="15"/>
      <c r="AY30" s="15"/>
      <c r="BA30" s="629" t="s">
        <v>75</v>
      </c>
      <c r="BB30" s="629"/>
      <c r="BC30" s="629"/>
      <c r="BD30" s="629"/>
      <c r="BE30" s="629" t="s">
        <v>76</v>
      </c>
      <c r="BF30" s="629"/>
      <c r="BG30" s="629"/>
      <c r="BH30" s="629"/>
    </row>
    <row r="31" spans="1:60" s="16" customFormat="1" ht="23.45" customHeight="1" thickBot="1">
      <c r="A31" s="283"/>
      <c r="B31" s="723" t="s">
        <v>77</v>
      </c>
      <c r="C31" s="723"/>
      <c r="D31" s="723"/>
      <c r="E31" s="723"/>
      <c r="F31" s="723"/>
      <c r="G31" s="723"/>
      <c r="H31" s="723"/>
      <c r="I31" s="723"/>
      <c r="J31" s="723"/>
      <c r="K31" s="723"/>
      <c r="L31" s="723"/>
      <c r="M31" s="723"/>
      <c r="N31" s="723"/>
      <c r="O31" s="723"/>
      <c r="P31" s="723"/>
      <c r="Q31" s="723"/>
      <c r="R31" s="723"/>
      <c r="S31" s="723"/>
      <c r="T31" s="723"/>
      <c r="U31" s="723"/>
      <c r="V31" s="723"/>
      <c r="W31" s="723"/>
      <c r="X31" s="723"/>
      <c r="Y31" s="723"/>
      <c r="Z31" s="723"/>
      <c r="AA31" s="723"/>
      <c r="AB31" s="723"/>
      <c r="AC31" s="723"/>
      <c r="AD31" s="723"/>
      <c r="AE31" s="723"/>
      <c r="AF31" s="723"/>
      <c r="AG31" s="723"/>
      <c r="AH31" s="723"/>
      <c r="AI31" s="723"/>
      <c r="AJ31" s="723"/>
      <c r="AK31" s="723"/>
      <c r="AL31" s="283"/>
      <c r="AM31" s="284"/>
      <c r="AN31" s="284"/>
      <c r="AO31" s="284"/>
      <c r="AP31" s="284"/>
      <c r="AQ31" s="284"/>
      <c r="AR31" s="284"/>
      <c r="AS31" s="284"/>
      <c r="AT31" s="284"/>
      <c r="AU31" s="284"/>
      <c r="AV31" s="284"/>
      <c r="AW31" s="284"/>
      <c r="AX31" s="284"/>
      <c r="AY31" s="284"/>
      <c r="BA31" s="874" t="s">
        <v>78</v>
      </c>
      <c r="BB31" s="874"/>
      <c r="BC31" s="874"/>
      <c r="BD31" s="874"/>
      <c r="BE31" s="874" t="s">
        <v>79</v>
      </c>
      <c r="BF31" s="874"/>
      <c r="BG31" s="874"/>
      <c r="BH31" s="874"/>
    </row>
    <row r="32" spans="1:60" s="12" customFormat="1" ht="18" customHeight="1" thickBot="1">
      <c r="A32" s="247"/>
      <c r="B32" s="869" t="s">
        <v>80</v>
      </c>
      <c r="C32" s="869"/>
      <c r="D32" s="869"/>
      <c r="E32" s="869"/>
      <c r="F32" s="869"/>
      <c r="G32" s="869"/>
      <c r="H32" s="869"/>
      <c r="I32" s="869"/>
      <c r="J32" s="869"/>
      <c r="K32" s="869"/>
      <c r="L32" s="869"/>
      <c r="M32" s="869"/>
      <c r="N32" s="869"/>
      <c r="O32" s="869"/>
      <c r="P32" s="869"/>
      <c r="Q32" s="869"/>
      <c r="R32" s="869"/>
      <c r="S32" s="869"/>
      <c r="T32" s="869"/>
      <c r="U32" s="869"/>
      <c r="V32" s="869"/>
      <c r="W32" s="869"/>
      <c r="X32" s="869"/>
      <c r="Y32" s="869"/>
      <c r="Z32" s="869"/>
      <c r="AA32" s="869"/>
      <c r="AB32" s="869"/>
      <c r="AC32" s="869"/>
      <c r="AD32" s="869"/>
      <c r="AE32" s="869"/>
      <c r="AF32" s="869"/>
      <c r="AG32" s="869"/>
      <c r="AH32" s="869"/>
      <c r="AI32" s="869"/>
      <c r="AJ32" s="869"/>
      <c r="AK32" s="271" t="str">
        <f>IF(H6="","",IF(AND('別紙様式2-2（個票（４、５月））'!AE9="○",'別紙様式2-3（個票（６月以降））'!AE9="○",COUNTIF('別紙様式2-2（個票（４、５月））'!AE12:AE1048576,"*令和８年度特例要件を*")+COUNTIF('別紙様式2-3（個票（６月以降））'!AE12:AE1048576,"*令和８年度特例要件を*")=0),"○","×"))</f>
        <v/>
      </c>
      <c r="AL32" s="247"/>
      <c r="AM32" s="284"/>
      <c r="AN32" s="284"/>
      <c r="AO32" s="284"/>
      <c r="AP32" s="284"/>
      <c r="AQ32" s="284"/>
      <c r="AR32" s="284"/>
      <c r="AS32" s="284"/>
      <c r="AT32" s="284"/>
      <c r="AU32" s="284"/>
      <c r="AV32" s="284"/>
      <c r="AW32" s="284"/>
      <c r="AX32" s="284"/>
      <c r="AY32" s="284"/>
      <c r="BA32" s="875">
        <f>COUNTIF('別紙様式2-2（個票（４、５月））'!N:N,"処遇改善加算Ⅰ")+COUNTIF('別紙様式2-2（個票（４、５月））'!N:N,"処遇改善加算Ⅱ")+COUNTIF('別紙様式2-2（個票（４、５月））'!N:N,"処遇改善加算Ⅲ")+COUNTIF('別紙様式2-2（個票（４、５月））'!N:N,"処遇改善加算Ⅳ")</f>
        <v>0</v>
      </c>
      <c r="BB32" s="875"/>
      <c r="BC32" s="875"/>
      <c r="BD32" s="875"/>
      <c r="BE32" s="875">
        <f>COUNTIF('別紙様式2-3（個票（６月以降））'!N:N,"*処遇改善加算Ⅰ*")+COUNTIF('別紙様式2-3（個票（６月以降））'!N:N,"*処遇改善加算Ⅱ*")+COUNTIF('別紙様式2-3（個票（６月以降））'!N:N,"処遇改善加算Ⅲ")+COUNTIF('別紙様式2-3（個票（６月以降））'!N:N,"処遇改善加算Ⅳ")+COUNTIF('別紙様式2-3（個票（６月以降））'!N:N,"処遇改善加算")</f>
        <v>0</v>
      </c>
      <c r="BF32" s="875"/>
      <c r="BG32" s="875"/>
      <c r="BH32" s="875"/>
    </row>
    <row r="33" spans="1:60" s="12" customFormat="1" ht="33" customHeight="1" thickBot="1">
      <c r="A33" s="247"/>
      <c r="B33" s="868" t="s">
        <v>81</v>
      </c>
      <c r="C33" s="869"/>
      <c r="D33" s="869"/>
      <c r="E33" s="869"/>
      <c r="F33" s="869"/>
      <c r="G33" s="869"/>
      <c r="H33" s="869"/>
      <c r="I33" s="869"/>
      <c r="J33" s="869"/>
      <c r="K33" s="869"/>
      <c r="L33" s="869"/>
      <c r="M33" s="869"/>
      <c r="N33" s="869"/>
      <c r="O33" s="869"/>
      <c r="P33" s="869"/>
      <c r="Q33" s="869"/>
      <c r="R33" s="869"/>
      <c r="S33" s="869"/>
      <c r="T33" s="869"/>
      <c r="U33" s="869"/>
      <c r="V33" s="869"/>
      <c r="W33" s="869"/>
      <c r="X33" s="869"/>
      <c r="Y33" s="869"/>
      <c r="Z33" s="869"/>
      <c r="AA33" s="869"/>
      <c r="AB33" s="869"/>
      <c r="AC33" s="869"/>
      <c r="AD33" s="869"/>
      <c r="AE33" s="869"/>
      <c r="AF33" s="869"/>
      <c r="AG33" s="869"/>
      <c r="AH33" s="869"/>
      <c r="AI33" s="869"/>
      <c r="AJ33" s="869"/>
      <c r="AK33" s="396"/>
      <c r="AL33" s="247"/>
      <c r="AM33" s="284"/>
      <c r="AN33" s="284"/>
      <c r="AO33" s="284"/>
      <c r="AP33" s="284"/>
      <c r="AQ33" s="284"/>
      <c r="AR33" s="284"/>
      <c r="AS33" s="284"/>
      <c r="AT33" s="284"/>
      <c r="AU33" s="284"/>
      <c r="AV33" s="284"/>
      <c r="AW33" s="284"/>
      <c r="AX33" s="284"/>
      <c r="AY33" s="284"/>
      <c r="BA33" s="630"/>
      <c r="BB33" s="630"/>
      <c r="BC33" s="630"/>
      <c r="BD33" s="630"/>
      <c r="BE33" s="629"/>
      <c r="BF33" s="629"/>
      <c r="BG33" s="629"/>
      <c r="BH33" s="629"/>
    </row>
    <row r="34" spans="1:60" s="12" customFormat="1" ht="6" customHeight="1">
      <c r="A34" s="247"/>
      <c r="B34" s="805"/>
      <c r="C34" s="805"/>
      <c r="D34" s="805"/>
      <c r="E34" s="805"/>
      <c r="F34" s="805"/>
      <c r="G34" s="805"/>
      <c r="H34" s="805"/>
      <c r="I34" s="805"/>
      <c r="J34" s="805"/>
      <c r="K34" s="805"/>
      <c r="L34" s="805"/>
      <c r="M34" s="805"/>
      <c r="N34" s="805"/>
      <c r="O34" s="805"/>
      <c r="P34" s="805"/>
      <c r="Q34" s="805"/>
      <c r="R34" s="805"/>
      <c r="S34" s="805"/>
      <c r="T34" s="805"/>
      <c r="U34" s="805"/>
      <c r="V34" s="805"/>
      <c r="W34" s="805"/>
      <c r="X34" s="805"/>
      <c r="Y34" s="805"/>
      <c r="Z34" s="805"/>
      <c r="AA34" s="805"/>
      <c r="AB34" s="805"/>
      <c r="AC34" s="805"/>
      <c r="AD34" s="805"/>
      <c r="AE34" s="805"/>
      <c r="AF34" s="805"/>
      <c r="AG34" s="805"/>
      <c r="AH34" s="805"/>
      <c r="AI34" s="805"/>
      <c r="AJ34" s="805"/>
      <c r="AK34" s="805"/>
      <c r="AL34" s="247"/>
      <c r="AM34" s="285"/>
      <c r="AN34" s="285"/>
      <c r="AO34" s="285"/>
      <c r="AP34" s="285"/>
      <c r="AQ34" s="285"/>
      <c r="AR34" s="285"/>
      <c r="AS34" s="285"/>
      <c r="AT34" s="285"/>
      <c r="AU34" s="285"/>
      <c r="AV34" s="285"/>
      <c r="AW34" s="285"/>
      <c r="AX34" s="285"/>
      <c r="AY34" s="285"/>
      <c r="BA34" s="629" t="s">
        <v>75</v>
      </c>
      <c r="BB34" s="629"/>
      <c r="BC34" s="629"/>
      <c r="BD34" s="629"/>
      <c r="BE34" s="629" t="s">
        <v>76</v>
      </c>
      <c r="BF34" s="629"/>
      <c r="BG34" s="629"/>
      <c r="BH34" s="629"/>
    </row>
    <row r="35" spans="1:60" s="12" customFormat="1" ht="19.899999999999999" customHeight="1" thickBot="1">
      <c r="A35" s="247"/>
      <c r="B35" s="723" t="s">
        <v>82</v>
      </c>
      <c r="C35" s="883"/>
      <c r="D35" s="883"/>
      <c r="E35" s="883"/>
      <c r="F35" s="883"/>
      <c r="G35" s="883"/>
      <c r="H35" s="883"/>
      <c r="I35" s="883"/>
      <c r="J35" s="883"/>
      <c r="K35" s="883"/>
      <c r="L35" s="883"/>
      <c r="M35" s="883"/>
      <c r="N35" s="883"/>
      <c r="O35" s="883"/>
      <c r="P35" s="883"/>
      <c r="Q35" s="883"/>
      <c r="R35" s="883"/>
      <c r="S35" s="883"/>
      <c r="T35" s="883"/>
      <c r="U35" s="883"/>
      <c r="V35" s="883"/>
      <c r="W35" s="883"/>
      <c r="X35" s="883"/>
      <c r="Y35" s="883"/>
      <c r="Z35" s="883"/>
      <c r="AA35" s="883"/>
      <c r="AB35" s="883"/>
      <c r="AC35" s="883"/>
      <c r="AD35" s="883"/>
      <c r="AE35" s="883"/>
      <c r="AF35" s="883"/>
      <c r="AG35" s="883"/>
      <c r="AH35" s="883"/>
      <c r="AI35" s="883"/>
      <c r="AJ35" s="883"/>
      <c r="AK35" s="883"/>
      <c r="AL35" s="247"/>
      <c r="AM35" s="284"/>
      <c r="AN35" s="284"/>
      <c r="AO35" s="284"/>
      <c r="AP35" s="284"/>
      <c r="AQ35" s="284"/>
      <c r="AR35" s="284"/>
      <c r="AS35" s="284"/>
      <c r="AT35" s="284"/>
      <c r="AU35" s="284"/>
      <c r="AV35" s="284"/>
      <c r="AW35" s="284"/>
      <c r="AX35" s="284"/>
      <c r="AY35" s="284"/>
      <c r="BA35" s="874" t="s">
        <v>83</v>
      </c>
      <c r="BB35" s="874"/>
      <c r="BC35" s="874"/>
      <c r="BD35" s="874"/>
      <c r="BE35" s="874" t="s">
        <v>83</v>
      </c>
      <c r="BF35" s="874"/>
      <c r="BG35" s="874"/>
      <c r="BH35" s="874"/>
    </row>
    <row r="36" spans="1:60" s="12" customFormat="1" ht="18" customHeight="1" thickBot="1">
      <c r="A36" s="247"/>
      <c r="B36" s="868" t="s">
        <v>84</v>
      </c>
      <c r="C36" s="868"/>
      <c r="D36" s="868"/>
      <c r="E36" s="868"/>
      <c r="F36" s="868"/>
      <c r="G36" s="868"/>
      <c r="H36" s="868"/>
      <c r="I36" s="868"/>
      <c r="J36" s="868"/>
      <c r="K36" s="868"/>
      <c r="L36" s="868"/>
      <c r="M36" s="868"/>
      <c r="N36" s="868"/>
      <c r="O36" s="868"/>
      <c r="P36" s="868"/>
      <c r="Q36" s="868"/>
      <c r="R36" s="868"/>
      <c r="S36" s="868"/>
      <c r="T36" s="868"/>
      <c r="U36" s="868"/>
      <c r="V36" s="868"/>
      <c r="W36" s="868"/>
      <c r="X36" s="868"/>
      <c r="Y36" s="868"/>
      <c r="Z36" s="868"/>
      <c r="AA36" s="868"/>
      <c r="AB36" s="868"/>
      <c r="AC36" s="868"/>
      <c r="AD36" s="868"/>
      <c r="AE36" s="868"/>
      <c r="AF36" s="868"/>
      <c r="AG36" s="868"/>
      <c r="AH36" s="868"/>
      <c r="AI36" s="868"/>
      <c r="AJ36" s="868"/>
      <c r="AK36" s="271" t="str">
        <f>IF(H6="","",IF(AND('別紙様式2-2（個票（４、５月））'!AF9="○",'別紙様式2-3（個票（６月以降））'!AF9="○",COUNTIF('別紙様式2-2（個票（４、５月））'!AF12:AF1048576,"*令和８年度特例要件を*")+COUNTIF('別紙様式2-3（個票（６月以降））'!AF12:AF1048576,"*令和８年度特例要件を*")=0),"○","×"))</f>
        <v/>
      </c>
      <c r="AL36" s="247"/>
      <c r="AM36" s="284"/>
      <c r="AN36" s="284"/>
      <c r="AO36" s="284"/>
      <c r="AP36" s="284"/>
      <c r="AQ36" s="284"/>
      <c r="AR36" s="284"/>
      <c r="AS36" s="284"/>
      <c r="AT36" s="284"/>
      <c r="AU36" s="284"/>
      <c r="AV36" s="284"/>
      <c r="AW36" s="284"/>
      <c r="AX36" s="284"/>
      <c r="AY36" s="284"/>
      <c r="BA36" s="875">
        <f>COUNTIF('別紙様式2-2（個票（４、５月））'!N:N,"処遇改善加算Ⅰ")+COUNTIF('別紙様式2-2（個票（４、５月））'!N:N,"処遇改善加算Ⅱ")+COUNTIF('別紙様式2-2（個票（４、５月））'!N:N,"処遇改善加算Ⅲ")</f>
        <v>0</v>
      </c>
      <c r="BB36" s="875"/>
      <c r="BC36" s="875"/>
      <c r="BD36" s="875"/>
      <c r="BE36" s="875">
        <f>COUNTIF('別紙様式2-3（個票（６月以降））'!N:N,"*処遇改善加算Ⅰ*")+COUNTIF('別紙様式2-3（個票（６月以降））'!N:N,"*処遇改善加算Ⅱ*")+COUNTIF('別紙様式2-3（個票（６月以降））'!N:N,"処遇改善加算Ⅲ")</f>
        <v>0</v>
      </c>
      <c r="BF36" s="875"/>
      <c r="BG36" s="875"/>
      <c r="BH36" s="875"/>
    </row>
    <row r="37" spans="1:60" s="12" customFormat="1" ht="30.6" customHeight="1" thickBot="1">
      <c r="A37" s="247"/>
      <c r="B37" s="868" t="s">
        <v>85</v>
      </c>
      <c r="C37" s="869"/>
      <c r="D37" s="869"/>
      <c r="E37" s="869"/>
      <c r="F37" s="869"/>
      <c r="G37" s="869"/>
      <c r="H37" s="869"/>
      <c r="I37" s="869"/>
      <c r="J37" s="869"/>
      <c r="K37" s="869"/>
      <c r="L37" s="869"/>
      <c r="M37" s="869"/>
      <c r="N37" s="869"/>
      <c r="O37" s="869"/>
      <c r="P37" s="869"/>
      <c r="Q37" s="869"/>
      <c r="R37" s="869"/>
      <c r="S37" s="869"/>
      <c r="T37" s="869"/>
      <c r="U37" s="869"/>
      <c r="V37" s="869"/>
      <c r="W37" s="869"/>
      <c r="X37" s="869"/>
      <c r="Y37" s="869"/>
      <c r="Z37" s="869"/>
      <c r="AA37" s="869"/>
      <c r="AB37" s="869"/>
      <c r="AC37" s="869"/>
      <c r="AD37" s="869"/>
      <c r="AE37" s="869"/>
      <c r="AF37" s="869"/>
      <c r="AG37" s="869"/>
      <c r="AH37" s="869"/>
      <c r="AI37" s="869"/>
      <c r="AJ37" s="869"/>
      <c r="AK37" s="396"/>
      <c r="AL37" s="247"/>
      <c r="AM37" s="284"/>
      <c r="AN37" s="284"/>
      <c r="AO37" s="284"/>
      <c r="AP37" s="284"/>
      <c r="AQ37" s="284"/>
      <c r="AR37" s="284"/>
      <c r="AS37" s="284"/>
      <c r="AT37" s="284"/>
      <c r="AU37" s="284"/>
      <c r="AV37" s="284"/>
      <c r="AW37" s="284"/>
      <c r="AX37" s="284"/>
      <c r="AY37" s="284"/>
      <c r="BA37" s="630"/>
      <c r="BB37" s="630"/>
      <c r="BC37" s="630"/>
      <c r="BD37" s="630"/>
      <c r="BE37" s="629"/>
      <c r="BF37" s="629"/>
      <c r="BG37" s="629"/>
      <c r="BH37" s="629"/>
    </row>
    <row r="38" spans="1:60" s="12" customFormat="1" ht="6" customHeight="1">
      <c r="A38" s="247"/>
      <c r="B38" s="281"/>
      <c r="C38" s="281"/>
      <c r="D38" s="281"/>
      <c r="E38" s="281"/>
      <c r="F38" s="281"/>
      <c r="G38" s="281"/>
      <c r="H38" s="281"/>
      <c r="I38" s="281"/>
      <c r="J38" s="281"/>
      <c r="K38" s="281"/>
      <c r="L38" s="281"/>
      <c r="M38" s="281"/>
      <c r="N38" s="281"/>
      <c r="O38" s="281"/>
      <c r="P38" s="281"/>
      <c r="Q38" s="281"/>
      <c r="R38" s="281"/>
      <c r="S38" s="281"/>
      <c r="T38" s="281"/>
      <c r="U38" s="281"/>
      <c r="V38" s="281"/>
      <c r="W38" s="281"/>
      <c r="X38" s="281"/>
      <c r="Y38" s="281"/>
      <c r="Z38" s="281"/>
      <c r="AA38" s="281"/>
      <c r="AB38" s="281"/>
      <c r="AC38" s="281"/>
      <c r="AD38" s="281"/>
      <c r="AE38" s="281"/>
      <c r="AF38" s="281"/>
      <c r="AG38" s="281"/>
      <c r="AH38" s="281"/>
      <c r="AI38" s="281"/>
      <c r="AJ38" s="281"/>
      <c r="AK38" s="281"/>
      <c r="AL38" s="247"/>
      <c r="AM38" s="286"/>
      <c r="AN38" s="247"/>
      <c r="AO38" s="247"/>
      <c r="AP38" s="247"/>
      <c r="AQ38" s="247"/>
      <c r="AR38" s="247"/>
      <c r="AS38" s="247"/>
      <c r="AT38" s="247"/>
      <c r="AU38" s="247"/>
      <c r="AV38" s="247"/>
      <c r="AW38" s="247"/>
      <c r="AX38" s="247"/>
      <c r="AY38" s="247"/>
      <c r="BA38" s="629" t="s">
        <v>75</v>
      </c>
      <c r="BB38" s="629"/>
      <c r="BC38" s="629"/>
      <c r="BD38" s="629"/>
      <c r="BE38" s="629" t="s">
        <v>76</v>
      </c>
      <c r="BF38" s="629"/>
      <c r="BG38" s="629"/>
      <c r="BH38" s="629"/>
    </row>
    <row r="39" spans="1:60" s="12" customFormat="1" ht="23.45" customHeight="1" thickBot="1">
      <c r="A39" s="247"/>
      <c r="B39" s="915" t="s">
        <v>86</v>
      </c>
      <c r="C39" s="916"/>
      <c r="D39" s="916"/>
      <c r="E39" s="916"/>
      <c r="F39" s="916"/>
      <c r="G39" s="916"/>
      <c r="H39" s="916"/>
      <c r="I39" s="916"/>
      <c r="J39" s="916"/>
      <c r="K39" s="916"/>
      <c r="L39" s="916"/>
      <c r="M39" s="916"/>
      <c r="N39" s="916"/>
      <c r="O39" s="916"/>
      <c r="P39" s="916"/>
      <c r="Q39" s="916"/>
      <c r="R39" s="916"/>
      <c r="S39" s="916"/>
      <c r="T39" s="916"/>
      <c r="U39" s="916"/>
      <c r="V39" s="916"/>
      <c r="W39" s="916"/>
      <c r="X39" s="916"/>
      <c r="Y39" s="916"/>
      <c r="Z39" s="916"/>
      <c r="AA39" s="916"/>
      <c r="AB39" s="916"/>
      <c r="AC39" s="916"/>
      <c r="AD39" s="916"/>
      <c r="AE39" s="916"/>
      <c r="AF39" s="916"/>
      <c r="AG39" s="916"/>
      <c r="AH39" s="916"/>
      <c r="AI39" s="916"/>
      <c r="AJ39" s="916"/>
      <c r="AK39" s="916"/>
      <c r="AL39" s="247"/>
      <c r="AM39" s="247"/>
      <c r="AN39" s="247"/>
      <c r="AO39" s="247"/>
      <c r="AP39" s="247"/>
      <c r="AQ39" s="247"/>
      <c r="AR39" s="247"/>
      <c r="AS39" s="247"/>
      <c r="AT39" s="247"/>
      <c r="AU39" s="247"/>
      <c r="AV39" s="247"/>
      <c r="AW39" s="247"/>
      <c r="AX39" s="247"/>
      <c r="AY39" s="247"/>
      <c r="BA39" s="875" t="s">
        <v>87</v>
      </c>
      <c r="BB39" s="875"/>
      <c r="BC39" s="875"/>
      <c r="BD39" s="875"/>
      <c r="BE39" s="875" t="s">
        <v>87</v>
      </c>
      <c r="BF39" s="875"/>
      <c r="BG39" s="875"/>
      <c r="BH39" s="875"/>
    </row>
    <row r="40" spans="1:60" ht="18" customHeight="1" thickBot="1">
      <c r="A40" s="15"/>
      <c r="B40" s="918" t="s">
        <v>88</v>
      </c>
      <c r="C40" s="918"/>
      <c r="D40" s="918"/>
      <c r="E40" s="918"/>
      <c r="F40" s="918"/>
      <c r="G40" s="918"/>
      <c r="H40" s="918"/>
      <c r="I40" s="918"/>
      <c r="J40" s="918"/>
      <c r="K40" s="918"/>
      <c r="L40" s="918"/>
      <c r="M40" s="918"/>
      <c r="N40" s="918"/>
      <c r="O40" s="918"/>
      <c r="P40" s="918"/>
      <c r="Q40" s="918"/>
      <c r="R40" s="918"/>
      <c r="S40" s="918"/>
      <c r="T40" s="918"/>
      <c r="U40" s="918"/>
      <c r="V40" s="918"/>
      <c r="W40" s="918"/>
      <c r="X40" s="918"/>
      <c r="Y40" s="918"/>
      <c r="Z40" s="918"/>
      <c r="AA40" s="918"/>
      <c r="AB40" s="918"/>
      <c r="AC40" s="918"/>
      <c r="AD40" s="918"/>
      <c r="AE40" s="918"/>
      <c r="AF40" s="918"/>
      <c r="AG40" s="918"/>
      <c r="AH40" s="918"/>
      <c r="AI40" s="918"/>
      <c r="AJ40" s="918"/>
      <c r="AK40" s="271" t="str">
        <f>IF(H6="","",IF(AND('別紙様式2-2（個票（４、５月））'!AG9="○",'別紙様式2-3（個票（６月以降））'!AG9="○",COUNTIF('別紙様式2-2（個票（４、５月））'!AH12:AH1048576,"*令和８年度特例要件を*")+COUNTIF('別紙様式2-3（個票（６月以降））'!AH12:AH1048576,"*令和８年度特例要件を*")=0,COUNTIF('別紙様式2-2（個票（４、５月））'!AH12:AH1048576,"*その他*")+COUNTIF('別紙様式2-3（個票（６月以降））'!AH12:AH1048576,"*その他*")=0),"○","×"))</f>
        <v/>
      </c>
      <c r="AL40" s="15"/>
      <c r="AM40" s="15"/>
      <c r="AN40" s="15"/>
      <c r="AO40" s="15"/>
      <c r="AP40" s="15"/>
      <c r="AQ40" s="15"/>
      <c r="AR40" s="15"/>
      <c r="AS40" s="15"/>
      <c r="AT40" s="15"/>
      <c r="AU40" s="15"/>
      <c r="AV40" s="15"/>
      <c r="AW40" s="15"/>
      <c r="AX40" s="268"/>
      <c r="AY40" s="15"/>
      <c r="BA40" s="874">
        <f>COUNTIF('別紙様式2-2（個票（４、５月））'!N:N,"処遇改善加算Ⅰ")+COUNTIF('別紙様式2-2（個票（４、５月））'!N:N,"処遇改善加算Ⅱ")</f>
        <v>0</v>
      </c>
      <c r="BB40" s="874"/>
      <c r="BC40" s="874"/>
      <c r="BD40" s="874"/>
      <c r="BE40" s="875">
        <f>COUNTIF('別紙様式2-3（個票（６月以降））'!N:N,"*処遇改善加算Ⅰ*")+COUNTIF('別紙様式2-3（個票（６月以降））'!N:N,"*処遇改善加算Ⅱ*")</f>
        <v>0</v>
      </c>
      <c r="BF40" s="875"/>
      <c r="BG40" s="875"/>
      <c r="BH40" s="875"/>
    </row>
    <row r="41" spans="1:60" ht="30.6" customHeight="1" thickBot="1">
      <c r="A41" s="15"/>
      <c r="B41" s="868" t="s">
        <v>89</v>
      </c>
      <c r="C41" s="869"/>
      <c r="D41" s="869"/>
      <c r="E41" s="869"/>
      <c r="F41" s="869"/>
      <c r="G41" s="869"/>
      <c r="H41" s="869"/>
      <c r="I41" s="869"/>
      <c r="J41" s="869"/>
      <c r="K41" s="869"/>
      <c r="L41" s="869"/>
      <c r="M41" s="869"/>
      <c r="N41" s="869"/>
      <c r="O41" s="869"/>
      <c r="P41" s="869"/>
      <c r="Q41" s="869"/>
      <c r="R41" s="869"/>
      <c r="S41" s="869"/>
      <c r="T41" s="869"/>
      <c r="U41" s="869"/>
      <c r="V41" s="869"/>
      <c r="W41" s="869"/>
      <c r="X41" s="869"/>
      <c r="Y41" s="869"/>
      <c r="Z41" s="869"/>
      <c r="AA41" s="869"/>
      <c r="AB41" s="869"/>
      <c r="AC41" s="869"/>
      <c r="AD41" s="869"/>
      <c r="AE41" s="869"/>
      <c r="AF41" s="869"/>
      <c r="AG41" s="869"/>
      <c r="AH41" s="869"/>
      <c r="AI41" s="869"/>
      <c r="AJ41" s="869"/>
      <c r="AK41" s="396"/>
      <c r="AL41" s="15"/>
      <c r="AM41" s="15"/>
      <c r="AN41" s="15"/>
      <c r="AO41" s="15"/>
      <c r="AP41" s="15"/>
      <c r="AQ41" s="15"/>
      <c r="AR41" s="15"/>
      <c r="AS41" s="15"/>
      <c r="AT41" s="15"/>
      <c r="AU41" s="15"/>
      <c r="AV41" s="15"/>
      <c r="AW41" s="15"/>
      <c r="AX41" s="268"/>
      <c r="AY41" s="15"/>
      <c r="BA41" s="287"/>
      <c r="BB41" s="287"/>
      <c r="BC41" s="287"/>
      <c r="BD41" s="287"/>
    </row>
    <row r="42" spans="1:60" ht="6" customHeight="1" thickBot="1">
      <c r="A42" s="15"/>
      <c r="B42" s="288"/>
      <c r="C42" s="15"/>
      <c r="D42" s="289"/>
      <c r="E42" s="289"/>
      <c r="F42" s="289"/>
      <c r="G42" s="289"/>
      <c r="H42" s="289"/>
      <c r="I42" s="289"/>
      <c r="J42" s="289"/>
      <c r="K42" s="289"/>
      <c r="L42" s="289"/>
      <c r="M42" s="289"/>
      <c r="N42" s="289"/>
      <c r="O42" s="289"/>
      <c r="P42" s="289"/>
      <c r="Q42" s="289"/>
      <c r="R42" s="289"/>
      <c r="S42" s="289"/>
      <c r="T42" s="289"/>
      <c r="U42" s="289"/>
      <c r="V42" s="289"/>
      <c r="W42" s="289"/>
      <c r="X42" s="289"/>
      <c r="Y42" s="289"/>
      <c r="Z42" s="289"/>
      <c r="AA42" s="289"/>
      <c r="AB42" s="289"/>
      <c r="AC42" s="289"/>
      <c r="AD42" s="289"/>
      <c r="AE42" s="289"/>
      <c r="AF42" s="289"/>
      <c r="AG42" s="289"/>
      <c r="AH42" s="289"/>
      <c r="AI42" s="289"/>
      <c r="AJ42" s="289"/>
      <c r="AK42" s="15"/>
      <c r="AL42" s="15"/>
      <c r="AM42" s="15"/>
      <c r="AN42" s="15"/>
      <c r="AO42" s="15"/>
      <c r="AP42" s="15"/>
      <c r="AQ42" s="15"/>
      <c r="AR42" s="15"/>
      <c r="AS42" s="15"/>
      <c r="AT42" s="15"/>
      <c r="AU42" s="15"/>
      <c r="AV42" s="15"/>
      <c r="AW42" s="268"/>
      <c r="AX42" s="15"/>
      <c r="AY42" s="15"/>
      <c r="BA42" s="290"/>
      <c r="BB42" s="290"/>
      <c r="BC42" s="290"/>
    </row>
    <row r="43" spans="1:60" ht="17.45" customHeight="1" thickBot="1">
      <c r="A43" s="15"/>
      <c r="B43" s="291" t="s">
        <v>90</v>
      </c>
      <c r="D43" s="292"/>
      <c r="E43" s="292"/>
      <c r="F43" s="292"/>
      <c r="G43" s="292"/>
      <c r="H43" s="292"/>
      <c r="I43" s="292"/>
      <c r="J43" s="292"/>
      <c r="K43" s="292"/>
      <c r="L43" s="292"/>
      <c r="M43" s="292"/>
      <c r="N43" s="292"/>
      <c r="O43" s="292"/>
      <c r="P43" s="292"/>
      <c r="Q43" s="289"/>
      <c r="R43" s="292"/>
      <c r="S43" s="289"/>
      <c r="T43" s="289"/>
      <c r="U43" s="289"/>
      <c r="V43" s="289"/>
      <c r="W43" s="289"/>
      <c r="X43" s="289"/>
      <c r="Y43" s="289"/>
      <c r="Z43" s="289"/>
      <c r="AA43" s="289"/>
      <c r="AB43" s="289"/>
      <c r="AC43" s="289"/>
      <c r="AD43" s="289"/>
      <c r="AE43" s="289"/>
      <c r="AF43" s="289"/>
      <c r="AG43" s="289"/>
      <c r="AH43" s="289"/>
      <c r="AI43" s="289"/>
      <c r="AJ43" s="289"/>
      <c r="AK43" s="257" t="str">
        <f>IF(H6="", "", IF(AK40="○", "", IF(OR(BA45=TRUE,BA46=TRUE,BA47=TRUE,AND(BA48=TRUE,G48&lt;&gt;"")), "○", "×")))</f>
        <v/>
      </c>
      <c r="AL43" s="15"/>
      <c r="AM43" s="293"/>
      <c r="AN43" s="15"/>
      <c r="AO43" s="15"/>
      <c r="AP43" s="15"/>
      <c r="AQ43" s="15"/>
      <c r="AR43" s="15"/>
      <c r="AS43" s="15"/>
      <c r="AT43" s="15"/>
      <c r="AU43" s="15"/>
      <c r="AV43" s="15"/>
      <c r="AW43" s="15"/>
      <c r="AX43" s="268"/>
      <c r="AY43" s="15"/>
      <c r="BA43" s="290"/>
      <c r="BB43" s="290"/>
      <c r="BC43" s="290"/>
    </row>
    <row r="44" spans="1:60" ht="15.6" customHeight="1" thickBot="1">
      <c r="A44" s="247"/>
      <c r="B44" s="294" t="s">
        <v>91</v>
      </c>
      <c r="C44" s="295"/>
      <c r="D44" s="296"/>
      <c r="E44" s="297"/>
      <c r="F44" s="298"/>
      <c r="G44" s="298"/>
      <c r="H44" s="298"/>
      <c r="I44" s="298"/>
      <c r="J44" s="298"/>
      <c r="K44" s="298"/>
      <c r="L44" s="298"/>
      <c r="M44" s="298"/>
      <c r="N44" s="298"/>
      <c r="O44" s="298"/>
      <c r="P44" s="298"/>
      <c r="Q44" s="298"/>
      <c r="R44" s="298"/>
      <c r="S44" s="298"/>
      <c r="T44" s="298"/>
      <c r="U44" s="298"/>
      <c r="V44" s="298"/>
      <c r="W44" s="298"/>
      <c r="X44" s="298"/>
      <c r="Y44" s="298"/>
      <c r="Z44" s="298"/>
      <c r="AA44" s="298"/>
      <c r="AB44" s="298"/>
      <c r="AC44" s="298"/>
      <c r="AD44" s="298"/>
      <c r="AE44" s="298"/>
      <c r="AF44" s="298"/>
      <c r="AG44" s="298"/>
      <c r="AH44" s="298"/>
      <c r="AI44" s="298"/>
      <c r="AJ44" s="298"/>
      <c r="AK44" s="299"/>
      <c r="AL44" s="247"/>
      <c r="AM44" s="919" t="s">
        <v>92</v>
      </c>
      <c r="AN44" s="919"/>
      <c r="AO44" s="919"/>
      <c r="AP44" s="919"/>
      <c r="AQ44" s="919"/>
      <c r="AR44" s="919"/>
      <c r="AS44" s="919"/>
      <c r="AT44" s="919"/>
      <c r="AU44" s="919"/>
      <c r="AV44" s="919"/>
      <c r="AW44" s="919"/>
      <c r="AX44" s="919"/>
      <c r="AY44" s="919"/>
      <c r="BA44" s="290"/>
      <c r="BB44" s="290"/>
      <c r="BC44" s="290"/>
    </row>
    <row r="45" spans="1:60" s="12" customFormat="1" ht="19.899999999999999" customHeight="1">
      <c r="A45" s="247"/>
      <c r="B45" s="300"/>
      <c r="C45" s="509"/>
      <c r="D45" s="301" t="s">
        <v>93</v>
      </c>
      <c r="E45" s="302"/>
      <c r="F45" s="302"/>
      <c r="G45" s="302"/>
      <c r="H45" s="302"/>
      <c r="I45" s="302"/>
      <c r="J45" s="302"/>
      <c r="K45" s="302"/>
      <c r="L45" s="302"/>
      <c r="M45" s="302"/>
      <c r="N45" s="302"/>
      <c r="O45" s="302"/>
      <c r="P45" s="302"/>
      <c r="Q45" s="302"/>
      <c r="R45" s="302"/>
      <c r="S45" s="274"/>
      <c r="T45" s="274"/>
      <c r="U45" s="274"/>
      <c r="V45" s="274"/>
      <c r="W45" s="274"/>
      <c r="X45" s="274"/>
      <c r="Y45" s="274"/>
      <c r="Z45" s="274"/>
      <c r="AA45" s="274"/>
      <c r="AB45" s="274"/>
      <c r="AC45" s="274"/>
      <c r="AD45" s="274"/>
      <c r="AE45" s="274"/>
      <c r="AF45" s="274"/>
      <c r="AG45" s="274"/>
      <c r="AH45" s="274"/>
      <c r="AI45" s="266"/>
      <c r="AJ45" s="247"/>
      <c r="AK45" s="303"/>
      <c r="AL45" s="247"/>
      <c r="AM45" s="247"/>
      <c r="AN45" s="304"/>
      <c r="AO45" s="304"/>
      <c r="AP45" s="304"/>
      <c r="AQ45" s="304"/>
      <c r="AR45" s="304"/>
      <c r="AS45" s="304"/>
      <c r="AT45" s="304"/>
      <c r="AU45" s="304"/>
      <c r="AV45" s="305"/>
      <c r="AW45" s="306"/>
      <c r="AX45" s="247"/>
      <c r="AY45" s="247"/>
      <c r="BA45" s="508" t="b">
        <v>0</v>
      </c>
      <c r="BB45" s="290"/>
      <c r="BC45" s="290"/>
    </row>
    <row r="46" spans="1:60" s="12" customFormat="1" ht="19.899999999999999" customHeight="1">
      <c r="A46" s="247"/>
      <c r="B46" s="300"/>
      <c r="C46" s="510"/>
      <c r="D46" s="279" t="s">
        <v>94</v>
      </c>
      <c r="E46" s="307"/>
      <c r="F46" s="307"/>
      <c r="G46" s="307"/>
      <c r="H46" s="307"/>
      <c r="I46" s="307"/>
      <c r="J46" s="307"/>
      <c r="K46" s="307"/>
      <c r="L46" s="307"/>
      <c r="M46" s="307"/>
      <c r="N46" s="307"/>
      <c r="O46" s="307"/>
      <c r="P46" s="307"/>
      <c r="Q46" s="307"/>
      <c r="R46" s="307"/>
      <c r="S46" s="307"/>
      <c r="T46" s="274"/>
      <c r="U46" s="274"/>
      <c r="V46" s="274"/>
      <c r="W46" s="274"/>
      <c r="X46" s="274"/>
      <c r="Y46" s="274"/>
      <c r="Z46" s="274"/>
      <c r="AA46" s="274"/>
      <c r="AB46" s="274"/>
      <c r="AC46" s="274"/>
      <c r="AD46" s="274"/>
      <c r="AE46" s="274"/>
      <c r="AF46" s="274"/>
      <c r="AG46" s="274"/>
      <c r="AH46" s="274"/>
      <c r="AI46" s="266"/>
      <c r="AJ46" s="247"/>
      <c r="AK46" s="303"/>
      <c r="AL46" s="247"/>
      <c r="AM46" s="247"/>
      <c r="AN46" s="304"/>
      <c r="AO46" s="304"/>
      <c r="AP46" s="304"/>
      <c r="AQ46" s="304"/>
      <c r="AR46" s="304"/>
      <c r="AS46" s="304"/>
      <c r="AT46" s="304"/>
      <c r="AU46" s="305"/>
      <c r="AV46" s="306"/>
      <c r="AW46" s="247"/>
      <c r="AX46" s="247"/>
      <c r="AY46" s="247"/>
      <c r="BA46" s="508" t="b">
        <v>0</v>
      </c>
      <c r="BB46" s="290"/>
      <c r="BC46" s="290"/>
    </row>
    <row r="47" spans="1:60" s="12" customFormat="1" ht="19.899999999999999" customHeight="1" thickBot="1">
      <c r="A47" s="247"/>
      <c r="B47" s="300"/>
      <c r="C47" s="510"/>
      <c r="D47" s="920" t="s">
        <v>95</v>
      </c>
      <c r="E47" s="920"/>
      <c r="F47" s="920"/>
      <c r="G47" s="920"/>
      <c r="H47" s="920"/>
      <c r="I47" s="920"/>
      <c r="J47" s="920"/>
      <c r="K47" s="920"/>
      <c r="L47" s="920"/>
      <c r="M47" s="920"/>
      <c r="N47" s="920"/>
      <c r="O47" s="920"/>
      <c r="P47" s="920"/>
      <c r="Q47" s="920"/>
      <c r="R47" s="920"/>
      <c r="S47" s="920"/>
      <c r="T47" s="920"/>
      <c r="U47" s="920"/>
      <c r="V47" s="920"/>
      <c r="W47" s="920"/>
      <c r="X47" s="920"/>
      <c r="Y47" s="920"/>
      <c r="Z47" s="920"/>
      <c r="AA47" s="920"/>
      <c r="AB47" s="920"/>
      <c r="AC47" s="920"/>
      <c r="AD47" s="920"/>
      <c r="AE47" s="920"/>
      <c r="AF47" s="920"/>
      <c r="AG47" s="920"/>
      <c r="AH47" s="920"/>
      <c r="AI47" s="920"/>
      <c r="AJ47" s="247"/>
      <c r="AK47" s="303"/>
      <c r="AL47" s="304"/>
      <c r="AM47" s="247"/>
      <c r="AN47" s="304"/>
      <c r="AO47" s="304"/>
      <c r="AP47" s="304"/>
      <c r="AQ47" s="304"/>
      <c r="AR47" s="304"/>
      <c r="AS47" s="304"/>
      <c r="AT47" s="304"/>
      <c r="AU47" s="305"/>
      <c r="AV47" s="306"/>
      <c r="AW47" s="247"/>
      <c r="AX47" s="247"/>
      <c r="AY47" s="247"/>
      <c r="BA47" s="508" t="b">
        <v>0</v>
      </c>
      <c r="BB47" s="290"/>
      <c r="BC47" s="290"/>
    </row>
    <row r="48" spans="1:60" s="12" customFormat="1" ht="19.899999999999999" customHeight="1" thickBot="1">
      <c r="A48" s="247"/>
      <c r="B48" s="308"/>
      <c r="C48" s="511"/>
      <c r="D48" s="309" t="s">
        <v>96</v>
      </c>
      <c r="E48" s="310"/>
      <c r="F48" s="311"/>
      <c r="G48" s="913"/>
      <c r="H48" s="913"/>
      <c r="I48" s="913"/>
      <c r="J48" s="913"/>
      <c r="K48" s="913"/>
      <c r="L48" s="913"/>
      <c r="M48" s="913"/>
      <c r="N48" s="913"/>
      <c r="O48" s="913"/>
      <c r="P48" s="913"/>
      <c r="Q48" s="913"/>
      <c r="R48" s="913"/>
      <c r="S48" s="913"/>
      <c r="T48" s="913"/>
      <c r="U48" s="913"/>
      <c r="V48" s="913"/>
      <c r="W48" s="913"/>
      <c r="X48" s="913"/>
      <c r="Y48" s="913"/>
      <c r="Z48" s="913"/>
      <c r="AA48" s="913"/>
      <c r="AB48" s="913"/>
      <c r="AC48" s="913"/>
      <c r="AD48" s="913"/>
      <c r="AE48" s="913"/>
      <c r="AF48" s="913"/>
      <c r="AG48" s="913"/>
      <c r="AH48" s="913"/>
      <c r="AI48" s="913"/>
      <c r="AJ48" s="913"/>
      <c r="AK48" s="312" t="s">
        <v>97</v>
      </c>
      <c r="AL48" s="247"/>
      <c r="AM48" s="914" t="s">
        <v>98</v>
      </c>
      <c r="AN48" s="914"/>
      <c r="AO48" s="914"/>
      <c r="AP48" s="914"/>
      <c r="AQ48" s="914"/>
      <c r="AR48" s="914"/>
      <c r="AS48" s="914"/>
      <c r="AT48" s="914"/>
      <c r="AU48" s="914"/>
      <c r="AV48" s="914"/>
      <c r="AW48" s="914"/>
      <c r="AX48" s="914"/>
      <c r="AY48" s="914"/>
      <c r="AZ48" s="313"/>
      <c r="BA48" s="508" t="b">
        <v>0</v>
      </c>
      <c r="BB48" s="290"/>
      <c r="BC48" s="290"/>
    </row>
    <row r="49" spans="1:60" s="12" customFormat="1" ht="4.9000000000000004" customHeight="1">
      <c r="A49" s="15"/>
      <c r="B49" s="314"/>
      <c r="C49" s="315"/>
      <c r="D49" s="315"/>
      <c r="E49" s="315"/>
      <c r="F49" s="315"/>
      <c r="G49" s="315"/>
      <c r="H49" s="315"/>
      <c r="I49" s="315"/>
      <c r="J49" s="315"/>
      <c r="K49" s="315"/>
      <c r="L49" s="315"/>
      <c r="M49" s="315"/>
      <c r="N49" s="315"/>
      <c r="O49" s="315"/>
      <c r="P49" s="315"/>
      <c r="Q49" s="315"/>
      <c r="R49" s="315"/>
      <c r="S49" s="315"/>
      <c r="T49" s="315"/>
      <c r="U49" s="315"/>
      <c r="V49" s="315"/>
      <c r="W49" s="315"/>
      <c r="X49" s="315"/>
      <c r="Y49" s="315"/>
      <c r="Z49" s="315"/>
      <c r="AA49" s="315"/>
      <c r="AB49" s="315"/>
      <c r="AC49" s="315"/>
      <c r="AD49" s="315"/>
      <c r="AE49" s="315"/>
      <c r="AF49" s="315"/>
      <c r="AG49" s="315"/>
      <c r="AH49" s="315"/>
      <c r="AI49" s="315"/>
      <c r="AJ49" s="315"/>
      <c r="AK49" s="315"/>
      <c r="AL49" s="15"/>
      <c r="AM49" s="247"/>
      <c r="AN49" s="247"/>
      <c r="AO49" s="247"/>
      <c r="AP49" s="247"/>
      <c r="AQ49" s="247"/>
      <c r="AR49" s="247"/>
      <c r="AS49" s="247"/>
      <c r="AT49" s="247"/>
      <c r="AU49" s="247"/>
      <c r="AV49" s="247"/>
      <c r="AW49" s="247"/>
      <c r="AX49" s="247"/>
      <c r="AY49" s="247"/>
      <c r="BA49" s="290"/>
      <c r="BB49" s="290"/>
      <c r="BC49" s="290"/>
    </row>
    <row r="50" spans="1:60" ht="23.45" customHeight="1" thickBot="1">
      <c r="A50" s="15"/>
      <c r="B50" s="915" t="s">
        <v>99</v>
      </c>
      <c r="C50" s="916"/>
      <c r="D50" s="916"/>
      <c r="E50" s="916"/>
      <c r="F50" s="916"/>
      <c r="G50" s="916"/>
      <c r="H50" s="916"/>
      <c r="I50" s="916"/>
      <c r="J50" s="916"/>
      <c r="K50" s="916"/>
      <c r="L50" s="916"/>
      <c r="M50" s="916"/>
      <c r="N50" s="916"/>
      <c r="O50" s="916"/>
      <c r="P50" s="916"/>
      <c r="Q50" s="916"/>
      <c r="R50" s="916"/>
      <c r="S50" s="916"/>
      <c r="T50" s="916"/>
      <c r="U50" s="916"/>
      <c r="V50" s="916"/>
      <c r="W50" s="916"/>
      <c r="X50" s="916"/>
      <c r="Y50" s="916"/>
      <c r="Z50" s="916"/>
      <c r="AA50" s="916"/>
      <c r="AB50" s="916"/>
      <c r="AC50" s="916"/>
      <c r="AD50" s="916"/>
      <c r="AE50" s="916"/>
      <c r="AF50" s="916"/>
      <c r="AG50" s="916"/>
      <c r="AH50" s="916"/>
      <c r="AI50" s="916"/>
      <c r="AJ50" s="916"/>
      <c r="AK50" s="916"/>
      <c r="AL50" s="15"/>
      <c r="AM50" s="15"/>
      <c r="AN50" s="15"/>
      <c r="AO50" s="15"/>
      <c r="AP50" s="15"/>
      <c r="AQ50" s="15"/>
      <c r="AR50" s="15"/>
      <c r="AS50" s="15"/>
      <c r="AT50" s="15"/>
      <c r="AU50" s="15"/>
      <c r="AV50" s="15"/>
      <c r="AW50" s="15"/>
      <c r="AX50" s="15"/>
      <c r="AY50" s="15"/>
      <c r="AZ50" s="12"/>
      <c r="BA50" s="911" t="s">
        <v>100</v>
      </c>
      <c r="BB50" s="911"/>
      <c r="BC50" s="911"/>
      <c r="BD50" s="911"/>
      <c r="BE50" s="911" t="s">
        <v>100</v>
      </c>
      <c r="BF50" s="911"/>
      <c r="BG50" s="911"/>
      <c r="BH50" s="911"/>
    </row>
    <row r="51" spans="1:60" ht="18" customHeight="1" thickBot="1">
      <c r="A51" s="15"/>
      <c r="B51" s="917" t="s">
        <v>101</v>
      </c>
      <c r="C51" s="917"/>
      <c r="D51" s="917"/>
      <c r="E51" s="917"/>
      <c r="F51" s="917"/>
      <c r="G51" s="917"/>
      <c r="H51" s="917"/>
      <c r="I51" s="917"/>
      <c r="J51" s="917"/>
      <c r="K51" s="917"/>
      <c r="L51" s="917"/>
      <c r="M51" s="917"/>
      <c r="N51" s="917"/>
      <c r="O51" s="917"/>
      <c r="P51" s="917"/>
      <c r="Q51" s="917"/>
      <c r="R51" s="917"/>
      <c r="S51" s="917"/>
      <c r="T51" s="917"/>
      <c r="U51" s="917"/>
      <c r="V51" s="917"/>
      <c r="W51" s="917"/>
      <c r="X51" s="917"/>
      <c r="Y51" s="917"/>
      <c r="Z51" s="917"/>
      <c r="AA51" s="917"/>
      <c r="AB51" s="917"/>
      <c r="AC51" s="917"/>
      <c r="AD51" s="917"/>
      <c r="AE51" s="917"/>
      <c r="AF51" s="917"/>
      <c r="AG51" s="917"/>
      <c r="AH51" s="917"/>
      <c r="AI51" s="917"/>
      <c r="AJ51" s="917"/>
      <c r="AK51" s="316" t="str">
        <f>IF(H6="", "", IF(AND('別紙様式2-2（個票（４、５月））'!AI9="○",'別紙様式2-3（個票（６月以降））'!AI9="○"), "○", "×"))</f>
        <v/>
      </c>
      <c r="AL51" s="15"/>
      <c r="AM51" s="15"/>
      <c r="AN51" s="15"/>
      <c r="AO51" s="15"/>
      <c r="AP51" s="15"/>
      <c r="AQ51" s="15"/>
      <c r="AR51" s="15"/>
      <c r="AS51" s="15"/>
      <c r="AT51" s="15"/>
      <c r="AU51" s="15"/>
      <c r="AV51" s="15"/>
      <c r="AW51" s="15"/>
      <c r="AX51" s="15"/>
      <c r="AY51" s="15"/>
      <c r="BA51" s="912">
        <f>COUNTIF('別紙様式2-2（個票（４、５月））'!N:N,"処遇改善加算Ⅰ")</f>
        <v>0</v>
      </c>
      <c r="BB51" s="912"/>
      <c r="BC51" s="912"/>
      <c r="BD51" s="912"/>
      <c r="BE51" s="912">
        <f>COUNTIF('別紙様式2-3（個票（６月以降））'!N:N,"*処遇改善加算Ⅰ*")</f>
        <v>0</v>
      </c>
      <c r="BF51" s="912"/>
      <c r="BG51" s="912"/>
      <c r="BH51" s="912"/>
    </row>
    <row r="52" spans="1:60" ht="6" customHeight="1">
      <c r="A52" s="247"/>
      <c r="B52" s="264"/>
      <c r="C52" s="264"/>
      <c r="D52" s="264"/>
      <c r="E52" s="264"/>
      <c r="F52" s="265"/>
      <c r="G52" s="266"/>
      <c r="H52" s="266"/>
      <c r="I52" s="266"/>
      <c r="J52" s="266"/>
      <c r="K52" s="266"/>
      <c r="L52" s="266"/>
      <c r="M52" s="317"/>
      <c r="N52" s="317"/>
      <c r="O52" s="317"/>
      <c r="P52" s="317"/>
      <c r="Q52" s="317"/>
      <c r="R52" s="317"/>
      <c r="S52" s="317"/>
      <c r="T52" s="317"/>
      <c r="U52" s="266"/>
      <c r="V52" s="266"/>
      <c r="W52" s="318"/>
      <c r="X52" s="266"/>
      <c r="Y52" s="266"/>
      <c r="Z52" s="266"/>
      <c r="AA52" s="317"/>
      <c r="AB52" s="266"/>
      <c r="AC52" s="266"/>
      <c r="AD52" s="266"/>
      <c r="AE52" s="266"/>
      <c r="AF52" s="266"/>
      <c r="AG52" s="266"/>
      <c r="AH52" s="266"/>
      <c r="AI52" s="266"/>
      <c r="AJ52" s="266"/>
      <c r="AK52" s="266"/>
      <c r="AL52" s="247"/>
      <c r="AM52" s="293"/>
      <c r="AN52" s="15"/>
      <c r="AO52" s="15"/>
      <c r="AP52" s="15"/>
      <c r="AQ52" s="15"/>
      <c r="AR52" s="15"/>
      <c r="AS52" s="15"/>
      <c r="AT52" s="15"/>
      <c r="AU52" s="15"/>
      <c r="AV52" s="15"/>
      <c r="AW52" s="15"/>
      <c r="AX52" s="15"/>
      <c r="AY52" s="15"/>
    </row>
    <row r="53" spans="1:60" s="12" customFormat="1" ht="23.45" customHeight="1" thickBot="1">
      <c r="A53" s="283"/>
      <c r="B53" s="843" t="s">
        <v>102</v>
      </c>
      <c r="C53" s="843"/>
      <c r="D53" s="843"/>
      <c r="E53" s="843"/>
      <c r="F53" s="843"/>
      <c r="G53" s="843"/>
      <c r="H53" s="843"/>
      <c r="I53" s="843"/>
      <c r="J53" s="843"/>
      <c r="K53" s="843"/>
      <c r="L53" s="843"/>
      <c r="M53" s="843"/>
      <c r="N53" s="843"/>
      <c r="O53" s="843"/>
      <c r="P53" s="843"/>
      <c r="Q53" s="844"/>
      <c r="R53" s="844"/>
      <c r="S53" s="844"/>
      <c r="T53" s="844"/>
      <c r="U53" s="844"/>
      <c r="V53" s="844"/>
      <c r="W53" s="844"/>
      <c r="X53" s="844"/>
      <c r="Y53" s="844"/>
      <c r="Z53" s="844"/>
      <c r="AA53" s="844"/>
      <c r="AB53" s="844"/>
      <c r="AC53" s="844"/>
      <c r="AD53" s="844"/>
      <c r="AE53" s="844"/>
      <c r="AF53" s="844"/>
      <c r="AG53" s="844"/>
      <c r="AH53" s="844"/>
      <c r="AI53" s="844"/>
      <c r="AJ53" s="844"/>
      <c r="AK53" s="844"/>
      <c r="AL53" s="242"/>
      <c r="AM53" s="247"/>
      <c r="AN53" s="319"/>
      <c r="AO53" s="247"/>
      <c r="AP53" s="247"/>
      <c r="AQ53" s="247"/>
      <c r="AR53" s="247"/>
      <c r="AS53" s="247"/>
      <c r="AT53" s="247"/>
      <c r="AU53" s="247"/>
      <c r="AV53" s="247"/>
      <c r="AW53" s="247"/>
      <c r="AX53" s="247"/>
      <c r="AY53" s="247"/>
    </row>
    <row r="54" spans="1:60" s="16" customFormat="1" ht="19.5" customHeight="1" thickBot="1">
      <c r="A54" s="283"/>
      <c r="B54" s="858" t="s">
        <v>103</v>
      </c>
      <c r="C54" s="859"/>
      <c r="D54" s="859"/>
      <c r="E54" s="859"/>
      <c r="F54" s="859"/>
      <c r="G54" s="859"/>
      <c r="H54" s="859"/>
      <c r="I54" s="859"/>
      <c r="J54" s="859"/>
      <c r="K54" s="859"/>
      <c r="L54" s="859"/>
      <c r="M54" s="859"/>
      <c r="N54" s="859"/>
      <c r="O54" s="859"/>
      <c r="P54" s="859"/>
      <c r="Q54" s="859"/>
      <c r="R54" s="859"/>
      <c r="S54" s="859"/>
      <c r="T54" s="859"/>
      <c r="U54" s="859"/>
      <c r="V54" s="859"/>
      <c r="W54" s="859"/>
      <c r="X54" s="859"/>
      <c r="Y54" s="859"/>
      <c r="Z54" s="859"/>
      <c r="AA54" s="859"/>
      <c r="AB54" s="859"/>
      <c r="AC54" s="859"/>
      <c r="AD54" s="859"/>
      <c r="AE54" s="859"/>
      <c r="AF54" s="859"/>
      <c r="AG54" s="859"/>
      <c r="AH54" s="859"/>
      <c r="AI54" s="859"/>
      <c r="AJ54" s="859"/>
      <c r="AK54" s="316" t="str">
        <f>IF(H6="","",IF(AND('別紙様式2-2（個票（４、５月））'!AJ9="",'別紙様式2-3（個票（６月以降））'!AJ9=""),"",IF(OR(AND('別紙様式2-2（個票（４、５月））'!AJ9="○",'別紙様式2-3（個票（６月以降））'!AJ9="○"),AND('別紙様式2-2（個票（４、５月））'!AJ9="○",'別紙様式2-3（個票（６月以降））'!AJ9=""),AND('別紙様式2-2（個票（４、５月））'!AJ9="",'別紙様式2-3（個票（６月以降））'!AJ9="○")),"○","×")))</f>
        <v/>
      </c>
      <c r="AL54" s="242"/>
      <c r="AM54" s="284"/>
      <c r="AN54" s="284"/>
      <c r="AO54" s="284"/>
      <c r="AP54" s="284"/>
      <c r="AQ54" s="284"/>
      <c r="AR54" s="284"/>
      <c r="AS54" s="284"/>
      <c r="AT54" s="284"/>
      <c r="AU54" s="284"/>
      <c r="AV54" s="284"/>
      <c r="AW54" s="284"/>
      <c r="AX54" s="284"/>
      <c r="AY54" s="284"/>
    </row>
    <row r="55" spans="1:60" s="16" customFormat="1" ht="31.5" customHeight="1" thickBot="1">
      <c r="A55" s="283"/>
      <c r="B55" s="868" t="s">
        <v>104</v>
      </c>
      <c r="C55" s="869"/>
      <c r="D55" s="869"/>
      <c r="E55" s="869"/>
      <c r="F55" s="869"/>
      <c r="G55" s="869"/>
      <c r="H55" s="869"/>
      <c r="I55" s="869"/>
      <c r="J55" s="869"/>
      <c r="K55" s="869"/>
      <c r="L55" s="869"/>
      <c r="M55" s="869"/>
      <c r="N55" s="869"/>
      <c r="O55" s="869"/>
      <c r="P55" s="869"/>
      <c r="Q55" s="869"/>
      <c r="R55" s="869"/>
      <c r="S55" s="869"/>
      <c r="T55" s="869"/>
      <c r="U55" s="869"/>
      <c r="V55" s="869"/>
      <c r="W55" s="869"/>
      <c r="X55" s="869"/>
      <c r="Y55" s="869"/>
      <c r="Z55" s="869"/>
      <c r="AA55" s="869"/>
      <c r="AB55" s="869"/>
      <c r="AC55" s="869"/>
      <c r="AD55" s="869"/>
      <c r="AE55" s="869"/>
      <c r="AF55" s="869"/>
      <c r="AG55" s="869"/>
      <c r="AH55" s="869"/>
      <c r="AI55" s="869"/>
      <c r="AJ55" s="869"/>
      <c r="AK55" s="397"/>
      <c r="AL55" s="242"/>
      <c r="AM55" s="320"/>
      <c r="AN55" s="284"/>
      <c r="AO55" s="284"/>
      <c r="AP55" s="284"/>
      <c r="AQ55" s="284"/>
      <c r="AR55" s="284"/>
      <c r="AS55" s="284"/>
      <c r="AT55" s="284"/>
      <c r="AU55" s="284"/>
      <c r="AV55" s="284"/>
      <c r="AW55" s="284"/>
      <c r="AX55" s="284"/>
      <c r="AY55" s="284"/>
    </row>
    <row r="56" spans="1:60" s="16" customFormat="1" ht="19.5" customHeight="1" thickBot="1">
      <c r="A56" s="283"/>
      <c r="B56" s="860" t="s">
        <v>105</v>
      </c>
      <c r="C56" s="860"/>
      <c r="D56" s="860"/>
      <c r="E56" s="860"/>
      <c r="F56" s="860"/>
      <c r="G56" s="860"/>
      <c r="H56" s="860"/>
      <c r="I56" s="860"/>
      <c r="J56" s="860"/>
      <c r="K56" s="860"/>
      <c r="L56" s="860"/>
      <c r="M56" s="860"/>
      <c r="N56" s="860"/>
      <c r="O56" s="860"/>
      <c r="P56" s="860"/>
      <c r="Q56" s="860"/>
      <c r="R56" s="860"/>
      <c r="S56" s="860"/>
      <c r="T56" s="860"/>
      <c r="U56" s="860"/>
      <c r="V56" s="860"/>
      <c r="W56" s="860"/>
      <c r="X56" s="860"/>
      <c r="Y56" s="860"/>
      <c r="Z56" s="860"/>
      <c r="AA56" s="860"/>
      <c r="AB56" s="860"/>
      <c r="AC56" s="860"/>
      <c r="AD56" s="860"/>
      <c r="AE56" s="860"/>
      <c r="AF56" s="860"/>
      <c r="AG56" s="860"/>
      <c r="AH56" s="860"/>
      <c r="AI56" s="860"/>
      <c r="AJ56" s="861"/>
      <c r="AK56" s="321" t="str">
        <f>IF(H6="","",IF(AK54="○","",IF(OR(AND(BB65=1,BA65&gt;=2,BA69&gt;=2,BA73&gt;=2,BA77&gt;=2,BA81&gt;=3,BA90&gt;=2),AND(BB65=2,BA65&gt;=1,BA69&gt;=1,BA73&gt;=1,BA77&gt;=1,BA81&gt;=2,BA90&gt;=1)),"○","×")))</f>
        <v/>
      </c>
      <c r="AL56" s="242"/>
      <c r="AM56" s="320"/>
      <c r="AN56" s="320"/>
      <c r="AO56" s="320"/>
      <c r="AP56" s="320"/>
      <c r="AQ56" s="320"/>
      <c r="AR56" s="320"/>
      <c r="AS56" s="320"/>
      <c r="AT56" s="320"/>
      <c r="AU56" s="320"/>
      <c r="AV56" s="320"/>
      <c r="AW56" s="320"/>
      <c r="AX56" s="320"/>
      <c r="AY56" s="320"/>
    </row>
    <row r="57" spans="1:60" s="16" customFormat="1" ht="7.9" customHeight="1" thickBot="1">
      <c r="A57" s="283"/>
      <c r="B57" s="322"/>
      <c r="C57" s="322"/>
      <c r="D57" s="322"/>
      <c r="E57" s="322"/>
      <c r="F57" s="322"/>
      <c r="G57" s="322"/>
      <c r="H57" s="322"/>
      <c r="I57" s="322"/>
      <c r="J57" s="322"/>
      <c r="K57" s="322"/>
      <c r="L57" s="322"/>
      <c r="M57" s="322"/>
      <c r="N57" s="322"/>
      <c r="O57" s="322"/>
      <c r="P57" s="322"/>
      <c r="Q57" s="322"/>
      <c r="R57" s="322"/>
      <c r="S57" s="322"/>
      <c r="T57" s="322"/>
      <c r="U57" s="322"/>
      <c r="V57" s="322"/>
      <c r="W57" s="322"/>
      <c r="X57" s="322"/>
      <c r="Y57" s="322"/>
      <c r="Z57" s="322"/>
      <c r="AA57" s="322"/>
      <c r="AB57" s="322"/>
      <c r="AC57" s="322"/>
      <c r="AD57" s="322"/>
      <c r="AE57" s="322"/>
      <c r="AF57" s="322"/>
      <c r="AG57" s="322"/>
      <c r="AH57" s="322"/>
      <c r="AI57" s="322"/>
      <c r="AJ57" s="322"/>
      <c r="AK57" s="323"/>
      <c r="AL57" s="242"/>
      <c r="AM57" s="320"/>
      <c r="AN57" s="320"/>
      <c r="AO57" s="320"/>
      <c r="AP57" s="320"/>
      <c r="AQ57" s="320"/>
      <c r="AR57" s="320"/>
      <c r="AS57" s="320"/>
      <c r="AT57" s="320"/>
      <c r="AU57" s="320"/>
      <c r="AV57" s="320"/>
      <c r="AW57" s="320"/>
      <c r="AX57" s="320"/>
      <c r="AY57" s="320"/>
    </row>
    <row r="58" spans="1:60" ht="21" customHeight="1" thickBot="1">
      <c r="A58" s="15"/>
      <c r="B58" s="278" t="s">
        <v>106</v>
      </c>
      <c r="C58" s="279"/>
      <c r="D58" s="279"/>
      <c r="E58" s="279"/>
      <c r="F58" s="279"/>
      <c r="G58" s="279"/>
      <c r="H58" s="279"/>
      <c r="I58" s="279"/>
      <c r="J58" s="279"/>
      <c r="K58" s="279"/>
      <c r="L58" s="279"/>
      <c r="M58" s="279"/>
      <c r="N58" s="279"/>
      <c r="O58" s="279"/>
      <c r="P58" s="279"/>
      <c r="Q58" s="279"/>
      <c r="R58" s="279"/>
      <c r="S58" s="279"/>
      <c r="T58" s="279"/>
      <c r="U58" s="279"/>
      <c r="V58" s="247"/>
      <c r="W58" s="279"/>
      <c r="X58" s="279"/>
      <c r="Y58" s="279"/>
      <c r="Z58" s="279"/>
      <c r="AA58" s="279"/>
      <c r="AB58" s="279"/>
      <c r="AC58" s="279"/>
      <c r="AD58" s="279"/>
      <c r="AE58" s="279"/>
      <c r="AF58" s="279"/>
      <c r="AG58" s="279"/>
      <c r="AH58" s="247"/>
      <c r="AI58" s="862" t="str">
        <f>IF(H6="","",IF(OR(BA40&gt;0,BE40&gt;0),"該当",""))</f>
        <v/>
      </c>
      <c r="AJ58" s="863"/>
      <c r="AK58" s="864"/>
      <c r="AL58" s="247"/>
      <c r="AM58" s="283"/>
      <c r="AN58" s="283"/>
      <c r="AO58" s="283"/>
      <c r="AP58" s="283"/>
      <c r="AQ58" s="283"/>
      <c r="AR58" s="283"/>
      <c r="AS58" s="283"/>
      <c r="AT58" s="283"/>
      <c r="AU58" s="283"/>
      <c r="AV58" s="283"/>
      <c r="AW58" s="283"/>
      <c r="AX58" s="283"/>
      <c r="AY58" s="283"/>
    </row>
    <row r="59" spans="1:60" ht="51" customHeight="1">
      <c r="A59" s="15"/>
      <c r="B59" s="324" t="s">
        <v>107</v>
      </c>
      <c r="C59" s="851" t="s">
        <v>108</v>
      </c>
      <c r="D59" s="851"/>
      <c r="E59" s="851"/>
      <c r="F59" s="851"/>
      <c r="G59" s="851"/>
      <c r="H59" s="851"/>
      <c r="I59" s="851"/>
      <c r="J59" s="851"/>
      <c r="K59" s="851"/>
      <c r="L59" s="851"/>
      <c r="M59" s="851"/>
      <c r="N59" s="851"/>
      <c r="O59" s="851"/>
      <c r="P59" s="851"/>
      <c r="Q59" s="851"/>
      <c r="R59" s="851"/>
      <c r="S59" s="851"/>
      <c r="T59" s="851"/>
      <c r="U59" s="851"/>
      <c r="V59" s="851"/>
      <c r="W59" s="851"/>
      <c r="X59" s="851"/>
      <c r="Y59" s="851"/>
      <c r="Z59" s="851"/>
      <c r="AA59" s="851"/>
      <c r="AB59" s="851"/>
      <c r="AC59" s="851"/>
      <c r="AD59" s="851"/>
      <c r="AE59" s="851"/>
      <c r="AF59" s="851"/>
      <c r="AG59" s="851"/>
      <c r="AH59" s="851"/>
      <c r="AI59" s="851"/>
      <c r="AJ59" s="851"/>
      <c r="AK59" s="851"/>
      <c r="AL59" s="247"/>
      <c r="AM59" s="247"/>
      <c r="AN59" s="247"/>
      <c r="AO59" s="247"/>
      <c r="AP59" s="247"/>
      <c r="AQ59" s="325"/>
      <c r="AR59" s="247"/>
      <c r="AS59" s="247"/>
      <c r="AT59" s="247"/>
      <c r="AU59" s="326"/>
      <c r="AV59" s="247"/>
      <c r="AW59" s="247"/>
      <c r="AX59" s="247"/>
      <c r="AY59" s="247"/>
    </row>
    <row r="60" spans="1:60" ht="7.9" customHeight="1" thickBot="1">
      <c r="A60" s="15"/>
      <c r="B60" s="247"/>
      <c r="C60" s="247"/>
      <c r="D60" s="247"/>
      <c r="E60" s="247"/>
      <c r="F60" s="247"/>
      <c r="G60" s="247"/>
      <c r="H60" s="247"/>
      <c r="I60" s="247"/>
      <c r="J60" s="247"/>
      <c r="K60" s="247"/>
      <c r="L60" s="247"/>
      <c r="M60" s="247"/>
      <c r="N60" s="247"/>
      <c r="O60" s="247"/>
      <c r="P60" s="247"/>
      <c r="Q60" s="24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row>
    <row r="61" spans="1:60" ht="21" customHeight="1" thickBot="1">
      <c r="A61" s="15"/>
      <c r="B61" s="327" t="s">
        <v>109</v>
      </c>
      <c r="C61" s="328"/>
      <c r="D61" s="328"/>
      <c r="E61" s="328"/>
      <c r="F61" s="328"/>
      <c r="G61" s="328"/>
      <c r="H61" s="328"/>
      <c r="I61" s="328"/>
      <c r="J61" s="328"/>
      <c r="K61" s="328"/>
      <c r="L61" s="328"/>
      <c r="M61" s="328"/>
      <c r="N61" s="328"/>
      <c r="O61" s="328"/>
      <c r="P61" s="328"/>
      <c r="Q61" s="328"/>
      <c r="R61" s="328"/>
      <c r="S61" s="328"/>
      <c r="T61" s="328"/>
      <c r="U61" s="328"/>
      <c r="V61" s="328"/>
      <c r="W61" s="328"/>
      <c r="X61" s="328"/>
      <c r="Y61" s="328"/>
      <c r="Z61" s="328"/>
      <c r="AA61" s="328"/>
      <c r="AB61" s="328"/>
      <c r="AC61" s="328"/>
      <c r="AD61" s="328"/>
      <c r="AE61" s="328"/>
      <c r="AF61" s="328"/>
      <c r="AG61" s="328"/>
      <c r="AH61" s="262"/>
      <c r="AI61" s="865" t="str">
        <f>IF(H6="","",IF(OR(BA32-BA40&gt;0,BE32-BE40&gt;0),"該当",""))</f>
        <v/>
      </c>
      <c r="AJ61" s="866"/>
      <c r="AK61" s="867"/>
      <c r="AL61" s="247"/>
      <c r="AM61" s="247"/>
      <c r="AN61" s="247"/>
      <c r="AO61" s="15"/>
      <c r="AP61" s="247"/>
      <c r="AQ61" s="247"/>
      <c r="AR61" s="247"/>
      <c r="AS61" s="247"/>
      <c r="AT61" s="247"/>
      <c r="AU61" s="247"/>
      <c r="AV61" s="247"/>
      <c r="AW61" s="247"/>
      <c r="AX61" s="247"/>
      <c r="AY61" s="247"/>
    </row>
    <row r="62" spans="1:60" ht="59.45" customHeight="1">
      <c r="A62" s="15"/>
      <c r="B62" s="324" t="s">
        <v>107</v>
      </c>
      <c r="C62" s="851" t="s">
        <v>110</v>
      </c>
      <c r="D62" s="851"/>
      <c r="E62" s="851"/>
      <c r="F62" s="851"/>
      <c r="G62" s="851"/>
      <c r="H62" s="851"/>
      <c r="I62" s="851"/>
      <c r="J62" s="851"/>
      <c r="K62" s="851"/>
      <c r="L62" s="851"/>
      <c r="M62" s="851"/>
      <c r="N62" s="851"/>
      <c r="O62" s="851"/>
      <c r="P62" s="851"/>
      <c r="Q62" s="851"/>
      <c r="R62" s="851"/>
      <c r="S62" s="851"/>
      <c r="T62" s="851"/>
      <c r="U62" s="851"/>
      <c r="V62" s="851"/>
      <c r="W62" s="851"/>
      <c r="X62" s="851"/>
      <c r="Y62" s="851"/>
      <c r="Z62" s="851"/>
      <c r="AA62" s="851"/>
      <c r="AB62" s="851"/>
      <c r="AC62" s="851"/>
      <c r="AD62" s="851"/>
      <c r="AE62" s="851"/>
      <c r="AF62" s="851"/>
      <c r="AG62" s="851"/>
      <c r="AH62" s="851"/>
      <c r="AI62" s="851"/>
      <c r="AJ62" s="851"/>
      <c r="AK62" s="851"/>
      <c r="AL62" s="247"/>
      <c r="AM62" s="247"/>
      <c r="AN62" s="247"/>
      <c r="AO62" s="247"/>
      <c r="AP62" s="247"/>
      <c r="AR62" s="247"/>
      <c r="AS62" s="247"/>
      <c r="AT62" s="247"/>
      <c r="AU62" s="247"/>
      <c r="AV62" s="247"/>
      <c r="AW62" s="247"/>
      <c r="AX62" s="247"/>
      <c r="AY62" s="247"/>
    </row>
    <row r="63" spans="1:60" ht="7.9" customHeight="1">
      <c r="A63" s="15"/>
      <c r="B63" s="329"/>
      <c r="C63" s="329"/>
      <c r="D63" s="329"/>
      <c r="E63" s="329"/>
      <c r="F63" s="329"/>
      <c r="G63" s="329"/>
      <c r="H63" s="329"/>
      <c r="I63" s="329"/>
      <c r="J63" s="329"/>
      <c r="K63" s="329"/>
      <c r="L63" s="329"/>
      <c r="M63" s="329"/>
      <c r="N63" s="329"/>
      <c r="O63" s="329"/>
      <c r="P63" s="329"/>
      <c r="Q63" s="329"/>
      <c r="R63" s="329"/>
      <c r="S63" s="329"/>
      <c r="T63" s="329"/>
      <c r="U63" s="329"/>
      <c r="V63" s="329"/>
      <c r="W63" s="329"/>
      <c r="X63" s="329"/>
      <c r="Y63" s="329"/>
      <c r="Z63" s="329"/>
      <c r="AA63" s="329"/>
      <c r="AB63" s="329"/>
      <c r="AC63" s="329"/>
      <c r="AD63" s="329"/>
      <c r="AE63" s="329"/>
      <c r="AF63" s="329"/>
      <c r="AG63" s="329"/>
      <c r="AH63" s="329"/>
      <c r="AI63" s="329"/>
      <c r="AJ63" s="329"/>
      <c r="AK63" s="329"/>
      <c r="AL63" s="247"/>
      <c r="AM63" s="247"/>
      <c r="AN63" s="247"/>
      <c r="AO63" s="247"/>
      <c r="AP63" s="247"/>
      <c r="AQ63" s="247"/>
      <c r="AR63" s="247"/>
      <c r="AS63" s="247"/>
      <c r="AT63" s="247"/>
      <c r="AU63" s="247"/>
      <c r="AV63" s="247"/>
      <c r="AW63" s="247"/>
      <c r="AX63" s="247"/>
      <c r="AY63" s="247"/>
    </row>
    <row r="64" spans="1:60" ht="19.899999999999999" customHeight="1" thickBot="1">
      <c r="A64" s="15"/>
      <c r="B64" s="852" t="s">
        <v>111</v>
      </c>
      <c r="C64" s="853"/>
      <c r="D64" s="854"/>
      <c r="E64" s="855" t="s">
        <v>112</v>
      </c>
      <c r="F64" s="856"/>
      <c r="G64" s="856"/>
      <c r="H64" s="856"/>
      <c r="I64" s="856"/>
      <c r="J64" s="856"/>
      <c r="K64" s="856"/>
      <c r="L64" s="856"/>
      <c r="M64" s="856"/>
      <c r="N64" s="856"/>
      <c r="O64" s="856"/>
      <c r="P64" s="856"/>
      <c r="Q64" s="856"/>
      <c r="R64" s="856"/>
      <c r="S64" s="856"/>
      <c r="T64" s="856"/>
      <c r="U64" s="856"/>
      <c r="V64" s="856"/>
      <c r="W64" s="856"/>
      <c r="X64" s="856"/>
      <c r="Y64" s="856"/>
      <c r="Z64" s="856"/>
      <c r="AA64" s="856"/>
      <c r="AB64" s="856"/>
      <c r="AC64" s="856"/>
      <c r="AD64" s="856"/>
      <c r="AE64" s="856"/>
      <c r="AF64" s="856"/>
      <c r="AG64" s="856"/>
      <c r="AH64" s="856"/>
      <c r="AI64" s="856"/>
      <c r="AJ64" s="856"/>
      <c r="AK64" s="857"/>
      <c r="AL64" s="247"/>
      <c r="AM64" s="15"/>
      <c r="AN64" s="284"/>
      <c r="AO64" s="284"/>
      <c r="AP64" s="284"/>
      <c r="AQ64" s="284"/>
      <c r="AR64" s="284"/>
      <c r="AS64" s="284"/>
      <c r="AT64" s="284"/>
      <c r="AU64" s="284"/>
      <c r="AV64" s="284"/>
      <c r="AW64" s="284"/>
      <c r="AX64" s="284"/>
      <c r="AY64" s="284"/>
      <c r="AZ64" s="330"/>
      <c r="BA64" s="512" t="s">
        <v>113</v>
      </c>
      <c r="BB64" s="282" t="s">
        <v>114</v>
      </c>
    </row>
    <row r="65" spans="1:54" ht="15.6" customHeight="1">
      <c r="A65" s="15"/>
      <c r="B65" s="664" t="s">
        <v>115</v>
      </c>
      <c r="C65" s="665"/>
      <c r="D65" s="665"/>
      <c r="E65" s="825"/>
      <c r="F65" s="826"/>
      <c r="G65" s="834" t="s">
        <v>116</v>
      </c>
      <c r="H65" s="835"/>
      <c r="I65" s="835"/>
      <c r="J65" s="835"/>
      <c r="K65" s="835"/>
      <c r="L65" s="835"/>
      <c r="M65" s="835"/>
      <c r="N65" s="835"/>
      <c r="O65" s="835"/>
      <c r="P65" s="835"/>
      <c r="Q65" s="835"/>
      <c r="R65" s="835"/>
      <c r="S65" s="835"/>
      <c r="T65" s="835"/>
      <c r="U65" s="835"/>
      <c r="V65" s="835"/>
      <c r="W65" s="835"/>
      <c r="X65" s="835"/>
      <c r="Y65" s="835"/>
      <c r="Z65" s="835"/>
      <c r="AA65" s="835"/>
      <c r="AB65" s="835"/>
      <c r="AC65" s="835"/>
      <c r="AD65" s="835"/>
      <c r="AE65" s="835"/>
      <c r="AF65" s="835"/>
      <c r="AG65" s="835"/>
      <c r="AH65" s="835"/>
      <c r="AI65" s="835"/>
      <c r="AJ65" s="835"/>
      <c r="AK65" s="835"/>
      <c r="AL65" s="247"/>
      <c r="AM65" s="817" t="str">
        <f>IF(AI58="該当", "！この区分（４項目）から２つ以上の取組が選択されていません。",  "！この区分（４項目）から１つ以上の取組が選択されていません。")</f>
        <v>！この区分（４項目）から１つ以上の取組が選択されていません。</v>
      </c>
      <c r="AN65" s="818"/>
      <c r="AO65" s="818"/>
      <c r="AP65" s="818"/>
      <c r="AQ65" s="818"/>
      <c r="AR65" s="818"/>
      <c r="AS65" s="818"/>
      <c r="AT65" s="818"/>
      <c r="AU65" s="818"/>
      <c r="AV65" s="818"/>
      <c r="AW65" s="818"/>
      <c r="AX65" s="819"/>
      <c r="AY65" s="247"/>
      <c r="AZ65" s="12"/>
      <c r="BA65" s="829">
        <f>COUNTIF(E65:F68, "✓")+COUNTIF(E65:F68, "誓約")</f>
        <v>0</v>
      </c>
      <c r="BB65" s="424" t="str">
        <f>IF(AI58="該当",1,IF(AI61="該当",2,""))</f>
        <v/>
      </c>
    </row>
    <row r="66" spans="1:54" ht="15" customHeight="1" thickBot="1">
      <c r="A66" s="15"/>
      <c r="B66" s="666"/>
      <c r="C66" s="667"/>
      <c r="D66" s="667"/>
      <c r="E66" s="827"/>
      <c r="F66" s="828"/>
      <c r="G66" s="834" t="s">
        <v>117</v>
      </c>
      <c r="H66" s="835"/>
      <c r="I66" s="835"/>
      <c r="J66" s="835"/>
      <c r="K66" s="835"/>
      <c r="L66" s="835"/>
      <c r="M66" s="835"/>
      <c r="N66" s="835"/>
      <c r="O66" s="835"/>
      <c r="P66" s="835"/>
      <c r="Q66" s="835"/>
      <c r="R66" s="835"/>
      <c r="S66" s="835"/>
      <c r="T66" s="835"/>
      <c r="U66" s="835"/>
      <c r="V66" s="835"/>
      <c r="W66" s="835"/>
      <c r="X66" s="835"/>
      <c r="Y66" s="835"/>
      <c r="Z66" s="835"/>
      <c r="AA66" s="835"/>
      <c r="AB66" s="835"/>
      <c r="AC66" s="835"/>
      <c r="AD66" s="835"/>
      <c r="AE66" s="835"/>
      <c r="AF66" s="835"/>
      <c r="AG66" s="835"/>
      <c r="AH66" s="835"/>
      <c r="AI66" s="835"/>
      <c r="AJ66" s="835"/>
      <c r="AK66" s="835"/>
      <c r="AL66" s="247"/>
      <c r="AM66" s="820"/>
      <c r="AN66" s="821"/>
      <c r="AO66" s="821"/>
      <c r="AP66" s="821"/>
      <c r="AQ66" s="821"/>
      <c r="AR66" s="821"/>
      <c r="AS66" s="821"/>
      <c r="AT66" s="821"/>
      <c r="AU66" s="821"/>
      <c r="AV66" s="821"/>
      <c r="AW66" s="821"/>
      <c r="AX66" s="822"/>
      <c r="AY66" s="320"/>
      <c r="AZ66" s="331"/>
      <c r="BA66" s="829"/>
    </row>
    <row r="67" spans="1:54" ht="24.6" customHeight="1">
      <c r="A67" s="15"/>
      <c r="B67" s="666"/>
      <c r="C67" s="667"/>
      <c r="D67" s="667"/>
      <c r="E67" s="827"/>
      <c r="F67" s="828"/>
      <c r="G67" s="834" t="s">
        <v>118</v>
      </c>
      <c r="H67" s="835"/>
      <c r="I67" s="835"/>
      <c r="J67" s="835"/>
      <c r="K67" s="835"/>
      <c r="L67" s="835"/>
      <c r="M67" s="835"/>
      <c r="N67" s="835"/>
      <c r="O67" s="835"/>
      <c r="P67" s="835"/>
      <c r="Q67" s="835"/>
      <c r="R67" s="835"/>
      <c r="S67" s="835"/>
      <c r="T67" s="835"/>
      <c r="U67" s="835"/>
      <c r="V67" s="835"/>
      <c r="W67" s="835"/>
      <c r="X67" s="835"/>
      <c r="Y67" s="835"/>
      <c r="Z67" s="835"/>
      <c r="AA67" s="835"/>
      <c r="AB67" s="835"/>
      <c r="AC67" s="835"/>
      <c r="AD67" s="835"/>
      <c r="AE67" s="835"/>
      <c r="AF67" s="835"/>
      <c r="AG67" s="835"/>
      <c r="AH67" s="835"/>
      <c r="AI67" s="835"/>
      <c r="AJ67" s="835"/>
      <c r="AK67" s="835"/>
      <c r="AL67" s="247"/>
      <c r="AM67" s="320"/>
      <c r="AN67" s="320"/>
      <c r="AO67" s="320"/>
      <c r="AP67" s="320"/>
      <c r="AQ67" s="320"/>
      <c r="AR67" s="320"/>
      <c r="AS67" s="320"/>
      <c r="AT67" s="320"/>
      <c r="AU67" s="320"/>
      <c r="AV67" s="320"/>
      <c r="AW67" s="320"/>
      <c r="AX67" s="320"/>
      <c r="AY67" s="320"/>
      <c r="AZ67" s="331"/>
      <c r="BA67" s="829"/>
    </row>
    <row r="68" spans="1:54" ht="15" customHeight="1" thickBot="1">
      <c r="A68" s="15"/>
      <c r="B68" s="823"/>
      <c r="C68" s="824"/>
      <c r="D68" s="824"/>
      <c r="E68" s="849"/>
      <c r="F68" s="850"/>
      <c r="G68" s="834" t="s">
        <v>119</v>
      </c>
      <c r="H68" s="835"/>
      <c r="I68" s="835"/>
      <c r="J68" s="835"/>
      <c r="K68" s="835"/>
      <c r="L68" s="835"/>
      <c r="M68" s="835"/>
      <c r="N68" s="835"/>
      <c r="O68" s="835"/>
      <c r="P68" s="835"/>
      <c r="Q68" s="835"/>
      <c r="R68" s="835"/>
      <c r="S68" s="835"/>
      <c r="T68" s="835"/>
      <c r="U68" s="835"/>
      <c r="V68" s="835"/>
      <c r="W68" s="835"/>
      <c r="X68" s="835"/>
      <c r="Y68" s="835"/>
      <c r="Z68" s="835"/>
      <c r="AA68" s="835"/>
      <c r="AB68" s="835"/>
      <c r="AC68" s="835"/>
      <c r="AD68" s="835"/>
      <c r="AE68" s="835"/>
      <c r="AF68" s="835"/>
      <c r="AG68" s="835"/>
      <c r="AH68" s="835"/>
      <c r="AI68" s="835"/>
      <c r="AJ68" s="835"/>
      <c r="AK68" s="835"/>
      <c r="AL68" s="247"/>
      <c r="AM68" s="332"/>
      <c r="AN68" s="332"/>
      <c r="AO68" s="332"/>
      <c r="AP68" s="332"/>
      <c r="AQ68" s="332"/>
      <c r="AR68" s="332"/>
      <c r="AS68" s="332"/>
      <c r="AT68" s="332"/>
      <c r="AU68" s="332"/>
      <c r="AV68" s="332"/>
      <c r="AW68" s="332"/>
      <c r="AX68" s="332"/>
      <c r="AY68" s="247"/>
      <c r="AZ68" s="12"/>
      <c r="BA68" s="829"/>
    </row>
    <row r="69" spans="1:54" ht="39.6" customHeight="1">
      <c r="A69" s="15"/>
      <c r="B69" s="664" t="s">
        <v>120</v>
      </c>
      <c r="C69" s="665"/>
      <c r="D69" s="665"/>
      <c r="E69" s="825"/>
      <c r="F69" s="826"/>
      <c r="G69" s="834" t="s">
        <v>121</v>
      </c>
      <c r="H69" s="835"/>
      <c r="I69" s="835"/>
      <c r="J69" s="835"/>
      <c r="K69" s="835"/>
      <c r="L69" s="835"/>
      <c r="M69" s="835"/>
      <c r="N69" s="835"/>
      <c r="O69" s="835"/>
      <c r="P69" s="835"/>
      <c r="Q69" s="835"/>
      <c r="R69" s="835"/>
      <c r="S69" s="835"/>
      <c r="T69" s="835"/>
      <c r="U69" s="835"/>
      <c r="V69" s="835"/>
      <c r="W69" s="835"/>
      <c r="X69" s="835"/>
      <c r="Y69" s="835"/>
      <c r="Z69" s="835"/>
      <c r="AA69" s="835"/>
      <c r="AB69" s="835"/>
      <c r="AC69" s="835"/>
      <c r="AD69" s="835"/>
      <c r="AE69" s="835"/>
      <c r="AF69" s="835"/>
      <c r="AG69" s="835"/>
      <c r="AH69" s="835"/>
      <c r="AI69" s="835"/>
      <c r="AJ69" s="835"/>
      <c r="AK69" s="835"/>
      <c r="AL69" s="247"/>
      <c r="AM69" s="817" t="str">
        <f>IF(AI58="該当", "！この区分（４項目）から２つ以上の取組が選択されていません。",  "！この区分（４項目）から１つ以上の取組が選択されていません。")</f>
        <v>！この区分（４項目）から１つ以上の取組が選択されていません。</v>
      </c>
      <c r="AN69" s="818"/>
      <c r="AO69" s="818"/>
      <c r="AP69" s="818"/>
      <c r="AQ69" s="818"/>
      <c r="AR69" s="818"/>
      <c r="AS69" s="818"/>
      <c r="AT69" s="818"/>
      <c r="AU69" s="818"/>
      <c r="AV69" s="818"/>
      <c r="AW69" s="818"/>
      <c r="AX69" s="819"/>
      <c r="AY69" s="247"/>
      <c r="AZ69" s="12"/>
      <c r="BA69" s="829">
        <f>COUNTIF(E69:F72, "✓")+COUNTIF(E69:F72, "誓約")</f>
        <v>0</v>
      </c>
    </row>
    <row r="70" spans="1:54" ht="15" customHeight="1" thickBot="1">
      <c r="A70" s="15"/>
      <c r="B70" s="666"/>
      <c r="C70" s="667"/>
      <c r="D70" s="667"/>
      <c r="E70" s="827"/>
      <c r="F70" s="828"/>
      <c r="G70" s="834" t="s">
        <v>122</v>
      </c>
      <c r="H70" s="835"/>
      <c r="I70" s="835"/>
      <c r="J70" s="835"/>
      <c r="K70" s="835"/>
      <c r="L70" s="835"/>
      <c r="M70" s="835"/>
      <c r="N70" s="835"/>
      <c r="O70" s="835"/>
      <c r="P70" s="835"/>
      <c r="Q70" s="835"/>
      <c r="R70" s="835"/>
      <c r="S70" s="835"/>
      <c r="T70" s="835"/>
      <c r="U70" s="835"/>
      <c r="V70" s="835"/>
      <c r="W70" s="835"/>
      <c r="X70" s="835"/>
      <c r="Y70" s="835"/>
      <c r="Z70" s="835"/>
      <c r="AA70" s="835"/>
      <c r="AB70" s="835"/>
      <c r="AC70" s="835"/>
      <c r="AD70" s="835"/>
      <c r="AE70" s="835"/>
      <c r="AF70" s="835"/>
      <c r="AG70" s="835"/>
      <c r="AH70" s="835"/>
      <c r="AI70" s="835"/>
      <c r="AJ70" s="835"/>
      <c r="AK70" s="835"/>
      <c r="AL70" s="247"/>
      <c r="AM70" s="820"/>
      <c r="AN70" s="821"/>
      <c r="AO70" s="821"/>
      <c r="AP70" s="821"/>
      <c r="AQ70" s="821"/>
      <c r="AR70" s="821"/>
      <c r="AS70" s="821"/>
      <c r="AT70" s="821"/>
      <c r="AU70" s="821"/>
      <c r="AV70" s="821"/>
      <c r="AW70" s="821"/>
      <c r="AX70" s="822"/>
      <c r="AY70" s="320"/>
      <c r="AZ70" s="331"/>
      <c r="BA70" s="829"/>
    </row>
    <row r="71" spans="1:54" ht="15" customHeight="1">
      <c r="A71" s="15"/>
      <c r="B71" s="666"/>
      <c r="C71" s="667"/>
      <c r="D71" s="667"/>
      <c r="E71" s="845"/>
      <c r="F71" s="846"/>
      <c r="G71" s="834" t="s">
        <v>123</v>
      </c>
      <c r="H71" s="835"/>
      <c r="I71" s="835"/>
      <c r="J71" s="835"/>
      <c r="K71" s="835"/>
      <c r="L71" s="835"/>
      <c r="M71" s="835"/>
      <c r="N71" s="835"/>
      <c r="O71" s="835"/>
      <c r="P71" s="835"/>
      <c r="Q71" s="835"/>
      <c r="R71" s="835"/>
      <c r="S71" s="835"/>
      <c r="T71" s="835"/>
      <c r="U71" s="835"/>
      <c r="V71" s="835"/>
      <c r="W71" s="835"/>
      <c r="X71" s="835"/>
      <c r="Y71" s="835"/>
      <c r="Z71" s="835"/>
      <c r="AA71" s="835"/>
      <c r="AB71" s="835"/>
      <c r="AC71" s="835"/>
      <c r="AD71" s="835"/>
      <c r="AE71" s="835"/>
      <c r="AF71" s="835"/>
      <c r="AG71" s="835"/>
      <c r="AH71" s="835"/>
      <c r="AI71" s="835"/>
      <c r="AJ71" s="835"/>
      <c r="AK71" s="835"/>
      <c r="AL71" s="247"/>
      <c r="AM71" s="333"/>
      <c r="AN71" s="320"/>
      <c r="AO71" s="320"/>
      <c r="AP71" s="320"/>
      <c r="AQ71" s="320"/>
      <c r="AR71" s="320"/>
      <c r="AS71" s="320"/>
      <c r="AT71" s="320"/>
      <c r="AU71" s="320"/>
      <c r="AV71" s="320"/>
      <c r="AW71" s="320"/>
      <c r="AX71" s="320"/>
      <c r="AY71" s="320"/>
      <c r="AZ71" s="331"/>
      <c r="BA71" s="829"/>
    </row>
    <row r="72" spans="1:54" ht="15" customHeight="1" thickBot="1">
      <c r="A72" s="15"/>
      <c r="B72" s="823"/>
      <c r="C72" s="824"/>
      <c r="D72" s="824"/>
      <c r="E72" s="847"/>
      <c r="F72" s="848"/>
      <c r="G72" s="834" t="s">
        <v>124</v>
      </c>
      <c r="H72" s="835"/>
      <c r="I72" s="835"/>
      <c r="J72" s="835"/>
      <c r="K72" s="835"/>
      <c r="L72" s="835"/>
      <c r="M72" s="835"/>
      <c r="N72" s="835"/>
      <c r="O72" s="835"/>
      <c r="P72" s="835"/>
      <c r="Q72" s="835"/>
      <c r="R72" s="835"/>
      <c r="S72" s="835"/>
      <c r="T72" s="835"/>
      <c r="U72" s="835"/>
      <c r="V72" s="835"/>
      <c r="W72" s="835"/>
      <c r="X72" s="835"/>
      <c r="Y72" s="835"/>
      <c r="Z72" s="835"/>
      <c r="AA72" s="835"/>
      <c r="AB72" s="835"/>
      <c r="AC72" s="835"/>
      <c r="AD72" s="835"/>
      <c r="AE72" s="835"/>
      <c r="AF72" s="835"/>
      <c r="AG72" s="835"/>
      <c r="AH72" s="835"/>
      <c r="AI72" s="835"/>
      <c r="AJ72" s="835"/>
      <c r="AK72" s="835"/>
      <c r="AL72" s="247"/>
      <c r="AM72" s="332"/>
      <c r="AN72" s="332"/>
      <c r="AO72" s="332"/>
      <c r="AP72" s="332"/>
      <c r="AQ72" s="332"/>
      <c r="AR72" s="332"/>
      <c r="AS72" s="332"/>
      <c r="AT72" s="332"/>
      <c r="AU72" s="332"/>
      <c r="AV72" s="332"/>
      <c r="AW72" s="332"/>
      <c r="AX72" s="332"/>
      <c r="AY72" s="247"/>
      <c r="AZ72" s="12"/>
      <c r="BA72" s="829"/>
    </row>
    <row r="73" spans="1:54" ht="15" customHeight="1">
      <c r="A73" s="15"/>
      <c r="B73" s="664" t="s">
        <v>125</v>
      </c>
      <c r="C73" s="665"/>
      <c r="D73" s="665"/>
      <c r="E73" s="825"/>
      <c r="F73" s="826"/>
      <c r="G73" s="834" t="s">
        <v>126</v>
      </c>
      <c r="H73" s="835"/>
      <c r="I73" s="835"/>
      <c r="J73" s="835"/>
      <c r="K73" s="835"/>
      <c r="L73" s="835"/>
      <c r="M73" s="835"/>
      <c r="N73" s="835"/>
      <c r="O73" s="835"/>
      <c r="P73" s="835"/>
      <c r="Q73" s="835"/>
      <c r="R73" s="835"/>
      <c r="S73" s="835"/>
      <c r="T73" s="835"/>
      <c r="U73" s="835"/>
      <c r="V73" s="835"/>
      <c r="W73" s="835"/>
      <c r="X73" s="835"/>
      <c r="Y73" s="835"/>
      <c r="Z73" s="835"/>
      <c r="AA73" s="835"/>
      <c r="AB73" s="835"/>
      <c r="AC73" s="835"/>
      <c r="AD73" s="835"/>
      <c r="AE73" s="835"/>
      <c r="AF73" s="835"/>
      <c r="AG73" s="835"/>
      <c r="AH73" s="835"/>
      <c r="AI73" s="835"/>
      <c r="AJ73" s="835"/>
      <c r="AK73" s="835"/>
      <c r="AL73" s="247"/>
      <c r="AM73" s="817" t="str">
        <f>IF(AI58="該当", "！この区分（４項目）から２つ以上の取組が選択されていません。",  "！この区分（４項目）から１つ以上の取組が選択されていません。")</f>
        <v>！この区分（４項目）から１つ以上の取組が選択されていません。</v>
      </c>
      <c r="AN73" s="818"/>
      <c r="AO73" s="818"/>
      <c r="AP73" s="818"/>
      <c r="AQ73" s="818"/>
      <c r="AR73" s="818"/>
      <c r="AS73" s="818"/>
      <c r="AT73" s="818"/>
      <c r="AU73" s="818"/>
      <c r="AV73" s="818"/>
      <c r="AW73" s="818"/>
      <c r="AX73" s="819"/>
      <c r="AY73" s="247"/>
      <c r="AZ73" s="12"/>
      <c r="BA73" s="829">
        <f>COUNTIF(E73:F76, "✓")+COUNTIF(E73:F76, "誓約")</f>
        <v>0</v>
      </c>
    </row>
    <row r="74" spans="1:54" ht="28.15" customHeight="1" thickBot="1">
      <c r="A74" s="15"/>
      <c r="B74" s="666"/>
      <c r="C74" s="667"/>
      <c r="D74" s="667"/>
      <c r="E74" s="827"/>
      <c r="F74" s="828"/>
      <c r="G74" s="834" t="s">
        <v>127</v>
      </c>
      <c r="H74" s="835"/>
      <c r="I74" s="835"/>
      <c r="J74" s="835"/>
      <c r="K74" s="835"/>
      <c r="L74" s="835"/>
      <c r="M74" s="835"/>
      <c r="N74" s="835"/>
      <c r="O74" s="835"/>
      <c r="P74" s="835"/>
      <c r="Q74" s="835"/>
      <c r="R74" s="835"/>
      <c r="S74" s="835"/>
      <c r="T74" s="835"/>
      <c r="U74" s="835"/>
      <c r="V74" s="835"/>
      <c r="W74" s="835"/>
      <c r="X74" s="835"/>
      <c r="Y74" s="835"/>
      <c r="Z74" s="835"/>
      <c r="AA74" s="835"/>
      <c r="AB74" s="835"/>
      <c r="AC74" s="835"/>
      <c r="AD74" s="835"/>
      <c r="AE74" s="835"/>
      <c r="AF74" s="835"/>
      <c r="AG74" s="835"/>
      <c r="AH74" s="835"/>
      <c r="AI74" s="835"/>
      <c r="AJ74" s="835"/>
      <c r="AK74" s="835"/>
      <c r="AL74" s="247"/>
      <c r="AM74" s="820"/>
      <c r="AN74" s="821"/>
      <c r="AO74" s="821"/>
      <c r="AP74" s="821"/>
      <c r="AQ74" s="821"/>
      <c r="AR74" s="821"/>
      <c r="AS74" s="821"/>
      <c r="AT74" s="821"/>
      <c r="AU74" s="821"/>
      <c r="AV74" s="821"/>
      <c r="AW74" s="821"/>
      <c r="AX74" s="822"/>
      <c r="AY74" s="320"/>
      <c r="AZ74" s="331"/>
      <c r="BA74" s="829"/>
    </row>
    <row r="75" spans="1:54" ht="45.6" customHeight="1">
      <c r="A75" s="15"/>
      <c r="B75" s="666"/>
      <c r="C75" s="667"/>
      <c r="D75" s="667"/>
      <c r="E75" s="827"/>
      <c r="F75" s="828"/>
      <c r="G75" s="834" t="s">
        <v>128</v>
      </c>
      <c r="H75" s="835"/>
      <c r="I75" s="835"/>
      <c r="J75" s="835"/>
      <c r="K75" s="835"/>
      <c r="L75" s="835"/>
      <c r="M75" s="835"/>
      <c r="N75" s="835"/>
      <c r="O75" s="835"/>
      <c r="P75" s="835"/>
      <c r="Q75" s="835"/>
      <c r="R75" s="835"/>
      <c r="S75" s="835"/>
      <c r="T75" s="835"/>
      <c r="U75" s="835"/>
      <c r="V75" s="835"/>
      <c r="W75" s="835"/>
      <c r="X75" s="835"/>
      <c r="Y75" s="835"/>
      <c r="Z75" s="835"/>
      <c r="AA75" s="835"/>
      <c r="AB75" s="835"/>
      <c r="AC75" s="835"/>
      <c r="AD75" s="835"/>
      <c r="AE75" s="835"/>
      <c r="AF75" s="835"/>
      <c r="AG75" s="835"/>
      <c r="AH75" s="835"/>
      <c r="AI75" s="835"/>
      <c r="AJ75" s="835"/>
      <c r="AK75" s="835"/>
      <c r="AL75" s="247"/>
      <c r="AM75" s="320"/>
      <c r="AN75" s="320"/>
      <c r="AO75" s="320"/>
      <c r="AP75" s="320"/>
      <c r="AQ75" s="320"/>
      <c r="AR75" s="320"/>
      <c r="AS75" s="320"/>
      <c r="AT75" s="320"/>
      <c r="AU75" s="320"/>
      <c r="AV75" s="320"/>
      <c r="AW75" s="320"/>
      <c r="AX75" s="320"/>
      <c r="AZ75" s="331"/>
      <c r="BA75" s="829"/>
    </row>
    <row r="76" spans="1:54" ht="27" customHeight="1" thickBot="1">
      <c r="A76" s="15"/>
      <c r="B76" s="823"/>
      <c r="C76" s="824"/>
      <c r="D76" s="824"/>
      <c r="E76" s="827"/>
      <c r="F76" s="828"/>
      <c r="G76" s="834" t="s">
        <v>129</v>
      </c>
      <c r="H76" s="835"/>
      <c r="I76" s="835"/>
      <c r="J76" s="835"/>
      <c r="K76" s="835"/>
      <c r="L76" s="835"/>
      <c r="M76" s="835"/>
      <c r="N76" s="835"/>
      <c r="O76" s="835"/>
      <c r="P76" s="835"/>
      <c r="Q76" s="835"/>
      <c r="R76" s="835"/>
      <c r="S76" s="835"/>
      <c r="T76" s="835"/>
      <c r="U76" s="835"/>
      <c r="V76" s="835"/>
      <c r="W76" s="835"/>
      <c r="X76" s="835"/>
      <c r="Y76" s="835"/>
      <c r="Z76" s="835"/>
      <c r="AA76" s="835"/>
      <c r="AB76" s="835"/>
      <c r="AC76" s="835"/>
      <c r="AD76" s="835"/>
      <c r="AE76" s="835"/>
      <c r="AF76" s="835"/>
      <c r="AG76" s="835"/>
      <c r="AH76" s="835"/>
      <c r="AI76" s="835"/>
      <c r="AJ76" s="835"/>
      <c r="AK76" s="835"/>
      <c r="AL76" s="247"/>
      <c r="AM76" s="332"/>
      <c r="AN76" s="332"/>
      <c r="AO76" s="332"/>
      <c r="AP76" s="332"/>
      <c r="AQ76" s="332"/>
      <c r="AR76" s="332"/>
      <c r="AS76" s="332"/>
      <c r="AT76" s="332"/>
      <c r="AU76" s="332"/>
      <c r="AV76" s="332"/>
      <c r="AW76" s="332"/>
      <c r="AX76" s="332"/>
      <c r="AY76" s="247"/>
      <c r="AZ76" s="12"/>
      <c r="BA76" s="829"/>
    </row>
    <row r="77" spans="1:54" ht="15" customHeight="1">
      <c r="A77" s="15"/>
      <c r="B77" s="664" t="s">
        <v>130</v>
      </c>
      <c r="C77" s="665"/>
      <c r="D77" s="665"/>
      <c r="E77" s="825"/>
      <c r="F77" s="826"/>
      <c r="G77" s="834" t="s">
        <v>131</v>
      </c>
      <c r="H77" s="835"/>
      <c r="I77" s="835"/>
      <c r="J77" s="835"/>
      <c r="K77" s="835"/>
      <c r="L77" s="835"/>
      <c r="M77" s="835"/>
      <c r="N77" s="835"/>
      <c r="O77" s="835"/>
      <c r="P77" s="835"/>
      <c r="Q77" s="835"/>
      <c r="R77" s="835"/>
      <c r="S77" s="835"/>
      <c r="T77" s="835"/>
      <c r="U77" s="835"/>
      <c r="V77" s="835"/>
      <c r="W77" s="835"/>
      <c r="X77" s="835"/>
      <c r="Y77" s="835"/>
      <c r="Z77" s="835"/>
      <c r="AA77" s="835"/>
      <c r="AB77" s="835"/>
      <c r="AC77" s="835"/>
      <c r="AD77" s="835"/>
      <c r="AE77" s="835"/>
      <c r="AF77" s="835"/>
      <c r="AG77" s="835"/>
      <c r="AH77" s="835"/>
      <c r="AI77" s="835"/>
      <c r="AJ77" s="835"/>
      <c r="AK77" s="835"/>
      <c r="AL77" s="247"/>
      <c r="AM77" s="839" t="str">
        <f>IF(AI58="該当", "！この区分（４項目）から２つ以上の取組が選択されていません。",  "！この区分（４項目）から１つ以上の取組が選択されていません。")</f>
        <v>！この区分（４項目）から１つ以上の取組が選択されていません。</v>
      </c>
      <c r="AN77" s="818"/>
      <c r="AO77" s="818"/>
      <c r="AP77" s="818"/>
      <c r="AQ77" s="818"/>
      <c r="AR77" s="818"/>
      <c r="AS77" s="818"/>
      <c r="AT77" s="818"/>
      <c r="AU77" s="818"/>
      <c r="AV77" s="818"/>
      <c r="AW77" s="818"/>
      <c r="AX77" s="819"/>
      <c r="AY77" s="247"/>
      <c r="AZ77" s="12"/>
      <c r="BA77" s="829">
        <f>COUNTIF(E77:F80, "✓")+COUNTIF(E77:F80, "誓約")</f>
        <v>0</v>
      </c>
    </row>
    <row r="78" spans="1:54" ht="32.450000000000003" customHeight="1" thickBot="1">
      <c r="A78" s="15"/>
      <c r="B78" s="666"/>
      <c r="C78" s="667"/>
      <c r="D78" s="667"/>
      <c r="E78" s="827"/>
      <c r="F78" s="828"/>
      <c r="G78" s="834" t="s">
        <v>132</v>
      </c>
      <c r="H78" s="835"/>
      <c r="I78" s="835"/>
      <c r="J78" s="835"/>
      <c r="K78" s="835"/>
      <c r="L78" s="835"/>
      <c r="M78" s="835"/>
      <c r="N78" s="835"/>
      <c r="O78" s="835"/>
      <c r="P78" s="835"/>
      <c r="Q78" s="835"/>
      <c r="R78" s="835"/>
      <c r="S78" s="835"/>
      <c r="T78" s="835"/>
      <c r="U78" s="835"/>
      <c r="V78" s="835"/>
      <c r="W78" s="835"/>
      <c r="X78" s="835"/>
      <c r="Y78" s="835"/>
      <c r="Z78" s="835"/>
      <c r="AA78" s="835"/>
      <c r="AB78" s="835"/>
      <c r="AC78" s="835"/>
      <c r="AD78" s="835"/>
      <c r="AE78" s="835"/>
      <c r="AF78" s="835"/>
      <c r="AG78" s="835"/>
      <c r="AH78" s="835"/>
      <c r="AI78" s="835"/>
      <c r="AJ78" s="835"/>
      <c r="AK78" s="835"/>
      <c r="AL78" s="15"/>
      <c r="AM78" s="820"/>
      <c r="AN78" s="821"/>
      <c r="AO78" s="821"/>
      <c r="AP78" s="821"/>
      <c r="AQ78" s="821"/>
      <c r="AR78" s="821"/>
      <c r="AS78" s="821"/>
      <c r="AT78" s="821"/>
      <c r="AU78" s="821"/>
      <c r="AV78" s="821"/>
      <c r="AW78" s="821"/>
      <c r="AX78" s="822"/>
      <c r="AY78" s="320"/>
      <c r="AZ78" s="331"/>
      <c r="BA78" s="829"/>
    </row>
    <row r="79" spans="1:54" ht="28.15" customHeight="1">
      <c r="A79" s="15"/>
      <c r="B79" s="666"/>
      <c r="C79" s="667"/>
      <c r="D79" s="667"/>
      <c r="E79" s="827"/>
      <c r="F79" s="828"/>
      <c r="G79" s="834" t="s">
        <v>133</v>
      </c>
      <c r="H79" s="835"/>
      <c r="I79" s="835"/>
      <c r="J79" s="835"/>
      <c r="K79" s="835"/>
      <c r="L79" s="835"/>
      <c r="M79" s="835"/>
      <c r="N79" s="835"/>
      <c r="O79" s="835"/>
      <c r="P79" s="835"/>
      <c r="Q79" s="835"/>
      <c r="R79" s="835"/>
      <c r="S79" s="835"/>
      <c r="T79" s="835"/>
      <c r="U79" s="835"/>
      <c r="V79" s="835"/>
      <c r="W79" s="835"/>
      <c r="X79" s="835"/>
      <c r="Y79" s="835"/>
      <c r="Z79" s="835"/>
      <c r="AA79" s="835"/>
      <c r="AB79" s="835"/>
      <c r="AC79" s="835"/>
      <c r="AD79" s="835"/>
      <c r="AE79" s="835"/>
      <c r="AF79" s="835"/>
      <c r="AG79" s="835"/>
      <c r="AH79" s="835"/>
      <c r="AI79" s="835"/>
      <c r="AJ79" s="835"/>
      <c r="AK79" s="835"/>
      <c r="AL79" s="247"/>
      <c r="AM79" s="320"/>
      <c r="AN79" s="320"/>
      <c r="AO79" s="320"/>
      <c r="AP79" s="320"/>
      <c r="AQ79" s="320"/>
      <c r="AR79" s="320"/>
      <c r="AS79" s="320"/>
      <c r="AT79" s="320"/>
      <c r="AU79" s="320"/>
      <c r="AV79" s="320"/>
      <c r="AW79" s="320"/>
      <c r="AX79" s="320"/>
      <c r="AY79" s="320"/>
      <c r="AZ79" s="331"/>
      <c r="BA79" s="829"/>
    </row>
    <row r="80" spans="1:54" ht="15" customHeight="1" thickBot="1">
      <c r="A80" s="15"/>
      <c r="B80" s="823"/>
      <c r="C80" s="824"/>
      <c r="D80" s="824"/>
      <c r="E80" s="827"/>
      <c r="F80" s="828"/>
      <c r="G80" s="834" t="s">
        <v>134</v>
      </c>
      <c r="H80" s="835"/>
      <c r="I80" s="835"/>
      <c r="J80" s="835"/>
      <c r="K80" s="835"/>
      <c r="L80" s="835"/>
      <c r="M80" s="835"/>
      <c r="N80" s="835"/>
      <c r="O80" s="835"/>
      <c r="P80" s="835"/>
      <c r="Q80" s="835"/>
      <c r="R80" s="835"/>
      <c r="S80" s="835"/>
      <c r="T80" s="835"/>
      <c r="U80" s="835"/>
      <c r="V80" s="835"/>
      <c r="W80" s="835"/>
      <c r="X80" s="835"/>
      <c r="Y80" s="835"/>
      <c r="Z80" s="835"/>
      <c r="AA80" s="835"/>
      <c r="AB80" s="835"/>
      <c r="AC80" s="835"/>
      <c r="AD80" s="835"/>
      <c r="AE80" s="835"/>
      <c r="AF80" s="835"/>
      <c r="AG80" s="835"/>
      <c r="AH80" s="835"/>
      <c r="AI80" s="835"/>
      <c r="AJ80" s="835"/>
      <c r="AK80" s="835"/>
      <c r="AL80" s="247"/>
      <c r="AM80" s="320"/>
      <c r="AN80" s="320"/>
      <c r="AO80" s="320"/>
      <c r="AP80" s="320"/>
      <c r="AQ80" s="320"/>
      <c r="AR80" s="320"/>
      <c r="AS80" s="320"/>
      <c r="AT80" s="320"/>
      <c r="AU80" s="320"/>
      <c r="AV80" s="320"/>
      <c r="AW80" s="320"/>
      <c r="AX80" s="320"/>
      <c r="AY80" s="247"/>
      <c r="AZ80" s="12"/>
      <c r="BA80" s="829"/>
    </row>
    <row r="81" spans="1:53" ht="28.15" customHeight="1" thickBot="1">
      <c r="A81" s="15"/>
      <c r="B81" s="664" t="s">
        <v>135</v>
      </c>
      <c r="C81" s="665"/>
      <c r="D81" s="840"/>
      <c r="E81" s="825"/>
      <c r="F81" s="826"/>
      <c r="G81" s="834" t="s">
        <v>136</v>
      </c>
      <c r="H81" s="835"/>
      <c r="I81" s="835"/>
      <c r="J81" s="835"/>
      <c r="K81" s="835"/>
      <c r="L81" s="835"/>
      <c r="M81" s="835"/>
      <c r="N81" s="835"/>
      <c r="O81" s="835"/>
      <c r="P81" s="835"/>
      <c r="Q81" s="835"/>
      <c r="R81" s="835"/>
      <c r="S81" s="835"/>
      <c r="T81" s="835"/>
      <c r="U81" s="835"/>
      <c r="V81" s="835"/>
      <c r="W81" s="835"/>
      <c r="X81" s="835"/>
      <c r="Y81" s="835"/>
      <c r="Z81" s="835"/>
      <c r="AA81" s="835"/>
      <c r="AB81" s="835"/>
      <c r="AC81" s="835"/>
      <c r="AD81" s="835"/>
      <c r="AE81" s="835"/>
      <c r="AF81" s="835"/>
      <c r="AG81" s="835"/>
      <c r="AH81" s="835"/>
      <c r="AI81" s="835"/>
      <c r="AJ81" s="835"/>
      <c r="AK81" s="835"/>
      <c r="AL81" s="247"/>
      <c r="AM81" s="836" t="str">
        <f>IF(AND(AI58="該当", AND(E81="",E82= "")), "！⑰又は⑱の取組は必須です。","")</f>
        <v/>
      </c>
      <c r="AN81" s="837"/>
      <c r="AO81" s="837"/>
      <c r="AP81" s="837"/>
      <c r="AQ81" s="837"/>
      <c r="AR81" s="837"/>
      <c r="AS81" s="837"/>
      <c r="AT81" s="837"/>
      <c r="AU81" s="837"/>
      <c r="AV81" s="837"/>
      <c r="AW81" s="837"/>
      <c r="AX81" s="838"/>
      <c r="AY81" s="247"/>
      <c r="AZ81" s="12"/>
      <c r="BA81" s="734">
        <f>COUNTIF(E81:F87, "✓") + COUNTIF(E81:F87, "誓約") + IF(COUNTIF(E88:F89, "✓") + COUNTIF(E88:F89, "誓約") &gt; 0, 1, 0)</f>
        <v>0</v>
      </c>
    </row>
    <row r="82" spans="1:53" ht="15" customHeight="1" thickBot="1">
      <c r="A82" s="15"/>
      <c r="B82" s="666"/>
      <c r="C82" s="667"/>
      <c r="D82" s="841"/>
      <c r="E82" s="827"/>
      <c r="F82" s="828"/>
      <c r="G82" s="834" t="s">
        <v>137</v>
      </c>
      <c r="H82" s="835"/>
      <c r="I82" s="835"/>
      <c r="J82" s="835"/>
      <c r="K82" s="835"/>
      <c r="L82" s="835"/>
      <c r="M82" s="835"/>
      <c r="N82" s="835"/>
      <c r="O82" s="835"/>
      <c r="P82" s="835"/>
      <c r="Q82" s="835"/>
      <c r="R82" s="835"/>
      <c r="S82" s="835"/>
      <c r="T82" s="835"/>
      <c r="U82" s="835"/>
      <c r="V82" s="835"/>
      <c r="W82" s="835"/>
      <c r="X82" s="835"/>
      <c r="Y82" s="835"/>
      <c r="Z82" s="835"/>
      <c r="AA82" s="835"/>
      <c r="AB82" s="835"/>
      <c r="AC82" s="835"/>
      <c r="AD82" s="835"/>
      <c r="AE82" s="835"/>
      <c r="AF82" s="835"/>
      <c r="AG82" s="835"/>
      <c r="AH82" s="835"/>
      <c r="AI82" s="835"/>
      <c r="AJ82" s="835"/>
      <c r="AK82" s="835"/>
      <c r="AL82" s="247"/>
      <c r="AM82" s="320"/>
      <c r="AN82" s="320"/>
      <c r="AO82" s="320"/>
      <c r="AP82" s="320"/>
      <c r="AQ82" s="320"/>
      <c r="AR82" s="320"/>
      <c r="AS82" s="320"/>
      <c r="AT82" s="320"/>
      <c r="AU82" s="320"/>
      <c r="AV82" s="320"/>
      <c r="AW82" s="320"/>
      <c r="AX82" s="320"/>
      <c r="AY82" s="320"/>
      <c r="AZ82" s="331"/>
      <c r="BA82" s="735"/>
    </row>
    <row r="83" spans="1:53" ht="26.45" customHeight="1">
      <c r="A83" s="15"/>
      <c r="B83" s="666"/>
      <c r="C83" s="667"/>
      <c r="D83" s="841"/>
      <c r="E83" s="827"/>
      <c r="F83" s="828"/>
      <c r="G83" s="834" t="s">
        <v>138</v>
      </c>
      <c r="H83" s="835"/>
      <c r="I83" s="835"/>
      <c r="J83" s="835"/>
      <c r="K83" s="835"/>
      <c r="L83" s="835"/>
      <c r="M83" s="835"/>
      <c r="N83" s="835"/>
      <c r="O83" s="835"/>
      <c r="P83" s="835"/>
      <c r="Q83" s="835"/>
      <c r="R83" s="835"/>
      <c r="S83" s="835"/>
      <c r="T83" s="835"/>
      <c r="U83" s="835"/>
      <c r="V83" s="835"/>
      <c r="W83" s="835"/>
      <c r="X83" s="835"/>
      <c r="Y83" s="835"/>
      <c r="Z83" s="835"/>
      <c r="AA83" s="835"/>
      <c r="AB83" s="835"/>
      <c r="AC83" s="835"/>
      <c r="AD83" s="835"/>
      <c r="AE83" s="835"/>
      <c r="AF83" s="835"/>
      <c r="AG83" s="835"/>
      <c r="AH83" s="835"/>
      <c r="AI83" s="835"/>
      <c r="AJ83" s="835"/>
      <c r="AK83" s="835"/>
      <c r="AL83" s="247"/>
      <c r="AM83" s="817" t="str">
        <f>IF(AI58="該当", "！この区分（８項目）から３つ以上の取組が選択されていません。","！この区分（４項目）から２つ以上の取組が選択されていません。")</f>
        <v>！この区分（４項目）から２つ以上の取組が選択されていません。</v>
      </c>
      <c r="AN83" s="818"/>
      <c r="AO83" s="818"/>
      <c r="AP83" s="818"/>
      <c r="AQ83" s="818"/>
      <c r="AR83" s="818"/>
      <c r="AS83" s="818"/>
      <c r="AT83" s="818"/>
      <c r="AU83" s="818"/>
      <c r="AV83" s="818"/>
      <c r="AW83" s="818"/>
      <c r="AX83" s="819"/>
      <c r="AY83" s="320"/>
      <c r="AZ83" s="331"/>
      <c r="BA83" s="735"/>
    </row>
    <row r="84" spans="1:53" ht="15" customHeight="1" thickBot="1">
      <c r="A84" s="15"/>
      <c r="B84" s="666"/>
      <c r="C84" s="667"/>
      <c r="D84" s="841"/>
      <c r="E84" s="827"/>
      <c r="F84" s="828"/>
      <c r="G84" s="834" t="s">
        <v>139</v>
      </c>
      <c r="H84" s="835"/>
      <c r="I84" s="835"/>
      <c r="J84" s="835"/>
      <c r="K84" s="835"/>
      <c r="L84" s="835"/>
      <c r="M84" s="835"/>
      <c r="N84" s="835"/>
      <c r="O84" s="835"/>
      <c r="P84" s="835"/>
      <c r="Q84" s="835"/>
      <c r="R84" s="835"/>
      <c r="S84" s="835"/>
      <c r="T84" s="835"/>
      <c r="U84" s="835"/>
      <c r="V84" s="835"/>
      <c r="W84" s="835"/>
      <c r="X84" s="835"/>
      <c r="Y84" s="835"/>
      <c r="Z84" s="835"/>
      <c r="AA84" s="835"/>
      <c r="AB84" s="835"/>
      <c r="AC84" s="835"/>
      <c r="AD84" s="835"/>
      <c r="AE84" s="835"/>
      <c r="AF84" s="835"/>
      <c r="AG84" s="835"/>
      <c r="AH84" s="835"/>
      <c r="AI84" s="835"/>
      <c r="AJ84" s="835"/>
      <c r="AK84" s="835"/>
      <c r="AL84" s="247"/>
      <c r="AM84" s="820"/>
      <c r="AN84" s="821"/>
      <c r="AO84" s="821"/>
      <c r="AP84" s="821"/>
      <c r="AQ84" s="821"/>
      <c r="AR84" s="821"/>
      <c r="AS84" s="821"/>
      <c r="AT84" s="821"/>
      <c r="AU84" s="821"/>
      <c r="AV84" s="821"/>
      <c r="AW84" s="821"/>
      <c r="AX84" s="822"/>
      <c r="AY84" s="247"/>
      <c r="AZ84" s="12"/>
      <c r="BA84" s="735"/>
    </row>
    <row r="85" spans="1:53" ht="27.6" customHeight="1">
      <c r="A85" s="15"/>
      <c r="B85" s="666"/>
      <c r="C85" s="667"/>
      <c r="D85" s="841"/>
      <c r="E85" s="827"/>
      <c r="F85" s="828"/>
      <c r="G85" s="834" t="s">
        <v>140</v>
      </c>
      <c r="H85" s="835"/>
      <c r="I85" s="835"/>
      <c r="J85" s="835"/>
      <c r="K85" s="835"/>
      <c r="L85" s="835"/>
      <c r="M85" s="835"/>
      <c r="N85" s="835"/>
      <c r="O85" s="835"/>
      <c r="P85" s="835"/>
      <c r="Q85" s="835"/>
      <c r="R85" s="835"/>
      <c r="S85" s="835"/>
      <c r="T85" s="835"/>
      <c r="U85" s="835"/>
      <c r="V85" s="835"/>
      <c r="W85" s="835"/>
      <c r="X85" s="835"/>
      <c r="Y85" s="835"/>
      <c r="Z85" s="835"/>
      <c r="AA85" s="835"/>
      <c r="AB85" s="835"/>
      <c r="AC85" s="835"/>
      <c r="AD85" s="835"/>
      <c r="AE85" s="835"/>
      <c r="AF85" s="835"/>
      <c r="AG85" s="835"/>
      <c r="AH85" s="835"/>
      <c r="AI85" s="835"/>
      <c r="AJ85" s="835"/>
      <c r="AK85" s="835"/>
      <c r="AL85" s="247"/>
      <c r="AM85" s="320"/>
      <c r="AN85" s="320"/>
      <c r="AO85" s="320"/>
      <c r="AP85" s="320"/>
      <c r="AQ85" s="320"/>
      <c r="AR85" s="320"/>
      <c r="AS85" s="320"/>
      <c r="AT85" s="320"/>
      <c r="AU85" s="320"/>
      <c r="AV85" s="320"/>
      <c r="AW85" s="320"/>
      <c r="AX85" s="320"/>
      <c r="AY85" s="320"/>
      <c r="AZ85" s="331"/>
      <c r="BA85" s="735"/>
    </row>
    <row r="86" spans="1:53" ht="28.15" customHeight="1">
      <c r="A86" s="15"/>
      <c r="B86" s="666"/>
      <c r="C86" s="667"/>
      <c r="D86" s="841"/>
      <c r="E86" s="827"/>
      <c r="F86" s="828"/>
      <c r="G86" s="834" t="s">
        <v>141</v>
      </c>
      <c r="H86" s="835"/>
      <c r="I86" s="835"/>
      <c r="J86" s="835"/>
      <c r="K86" s="835"/>
      <c r="L86" s="835"/>
      <c r="M86" s="835"/>
      <c r="N86" s="835"/>
      <c r="O86" s="835"/>
      <c r="P86" s="835"/>
      <c r="Q86" s="835"/>
      <c r="R86" s="835"/>
      <c r="S86" s="835"/>
      <c r="T86" s="835"/>
      <c r="U86" s="835"/>
      <c r="V86" s="835"/>
      <c r="W86" s="835"/>
      <c r="X86" s="835"/>
      <c r="Y86" s="835"/>
      <c r="Z86" s="835"/>
      <c r="AA86" s="835"/>
      <c r="AB86" s="835"/>
      <c r="AC86" s="835"/>
      <c r="AD86" s="835"/>
      <c r="AE86" s="835"/>
      <c r="AF86" s="835"/>
      <c r="AG86" s="835"/>
      <c r="AH86" s="835"/>
      <c r="AI86" s="835"/>
      <c r="AJ86" s="835"/>
      <c r="AK86" s="835"/>
      <c r="AL86" s="247"/>
      <c r="AM86" s="320"/>
      <c r="AN86" s="320"/>
      <c r="AO86" s="320"/>
      <c r="AP86" s="320"/>
      <c r="AQ86" s="320"/>
      <c r="AR86" s="320"/>
      <c r="AS86" s="320"/>
      <c r="AT86" s="320"/>
      <c r="AU86" s="320"/>
      <c r="AV86" s="320"/>
      <c r="AX86" s="320"/>
      <c r="AY86" s="320"/>
      <c r="AZ86" s="331"/>
      <c r="BA86" s="735"/>
    </row>
    <row r="87" spans="1:53" ht="46.9" customHeight="1">
      <c r="A87" s="15"/>
      <c r="B87" s="666"/>
      <c r="C87" s="667"/>
      <c r="D87" s="841"/>
      <c r="E87" s="827"/>
      <c r="F87" s="828"/>
      <c r="G87" s="834" t="s">
        <v>142</v>
      </c>
      <c r="H87" s="835"/>
      <c r="I87" s="835"/>
      <c r="J87" s="835"/>
      <c r="K87" s="835"/>
      <c r="L87" s="835"/>
      <c r="M87" s="835"/>
      <c r="N87" s="835"/>
      <c r="O87" s="835"/>
      <c r="P87" s="835"/>
      <c r="Q87" s="835"/>
      <c r="R87" s="835"/>
      <c r="S87" s="835"/>
      <c r="T87" s="835"/>
      <c r="U87" s="835"/>
      <c r="V87" s="835"/>
      <c r="W87" s="835"/>
      <c r="X87" s="835"/>
      <c r="Y87" s="835"/>
      <c r="Z87" s="835"/>
      <c r="AA87" s="835"/>
      <c r="AB87" s="835"/>
      <c r="AC87" s="835"/>
      <c r="AD87" s="835"/>
      <c r="AE87" s="835"/>
      <c r="AF87" s="835"/>
      <c r="AG87" s="835"/>
      <c r="AH87" s="835"/>
      <c r="AI87" s="835"/>
      <c r="AJ87" s="835"/>
      <c r="AK87" s="835"/>
      <c r="AL87" s="247"/>
      <c r="AM87" s="320"/>
      <c r="AN87" s="320"/>
      <c r="AO87" s="320"/>
      <c r="AP87" s="320"/>
      <c r="AQ87" s="320"/>
      <c r="AR87" s="320"/>
      <c r="AS87" s="320"/>
      <c r="AT87" s="320"/>
      <c r="AU87" s="320"/>
      <c r="AV87" s="320"/>
      <c r="AW87" s="320"/>
      <c r="AX87" s="320"/>
      <c r="AY87" s="247"/>
      <c r="AZ87" s="12"/>
      <c r="BA87" s="735"/>
    </row>
    <row r="88" spans="1:53" ht="42.6" customHeight="1">
      <c r="A88" s="15"/>
      <c r="B88" s="666"/>
      <c r="C88" s="667"/>
      <c r="D88" s="841"/>
      <c r="E88" s="827"/>
      <c r="F88" s="828"/>
      <c r="G88" s="834" t="s">
        <v>143</v>
      </c>
      <c r="H88" s="835"/>
      <c r="I88" s="835"/>
      <c r="J88" s="835"/>
      <c r="K88" s="835"/>
      <c r="L88" s="835"/>
      <c r="M88" s="835"/>
      <c r="N88" s="835"/>
      <c r="O88" s="835"/>
      <c r="P88" s="835"/>
      <c r="Q88" s="835"/>
      <c r="R88" s="835"/>
      <c r="S88" s="835"/>
      <c r="T88" s="835"/>
      <c r="U88" s="835"/>
      <c r="V88" s="835"/>
      <c r="W88" s="835"/>
      <c r="X88" s="835"/>
      <c r="Y88" s="835"/>
      <c r="Z88" s="835"/>
      <c r="AA88" s="835"/>
      <c r="AB88" s="835"/>
      <c r="AC88" s="835"/>
      <c r="AD88" s="835"/>
      <c r="AE88" s="835"/>
      <c r="AF88" s="835"/>
      <c r="AG88" s="835"/>
      <c r="AH88" s="835"/>
      <c r="AI88" s="835"/>
      <c r="AJ88" s="835"/>
      <c r="AK88" s="835"/>
      <c r="AL88" s="247"/>
      <c r="AM88" s="320"/>
      <c r="AN88" s="320"/>
      <c r="AO88" s="320"/>
      <c r="AP88" s="320"/>
      <c r="AQ88" s="320"/>
      <c r="AR88" s="320"/>
      <c r="AS88" s="320"/>
      <c r="AT88" s="320"/>
      <c r="AU88" s="320"/>
      <c r="AV88" s="320"/>
      <c r="AW88" s="320"/>
      <c r="AX88" s="320"/>
      <c r="AY88" s="247"/>
      <c r="AZ88" s="12"/>
      <c r="BA88" s="735"/>
    </row>
    <row r="89" spans="1:53" ht="28.15" customHeight="1" thickBot="1">
      <c r="A89" s="15"/>
      <c r="B89" s="823"/>
      <c r="C89" s="824"/>
      <c r="D89" s="842"/>
      <c r="E89" s="830"/>
      <c r="F89" s="831"/>
      <c r="G89" s="832" t="s">
        <v>144</v>
      </c>
      <c r="H89" s="833"/>
      <c r="I89" s="833"/>
      <c r="J89" s="833"/>
      <c r="K89" s="833"/>
      <c r="L89" s="833"/>
      <c r="M89" s="833"/>
      <c r="N89" s="833"/>
      <c r="O89" s="833"/>
      <c r="P89" s="833"/>
      <c r="Q89" s="833"/>
      <c r="R89" s="833"/>
      <c r="S89" s="833"/>
      <c r="T89" s="833"/>
      <c r="U89" s="833"/>
      <c r="V89" s="833"/>
      <c r="W89" s="833"/>
      <c r="X89" s="833"/>
      <c r="Y89" s="833"/>
      <c r="Z89" s="833"/>
      <c r="AA89" s="833"/>
      <c r="AB89" s="833"/>
      <c r="AC89" s="833"/>
      <c r="AD89" s="833"/>
      <c r="AE89" s="833"/>
      <c r="AF89" s="833"/>
      <c r="AG89" s="833"/>
      <c r="AH89" s="833"/>
      <c r="AI89" s="833"/>
      <c r="AJ89" s="833"/>
      <c r="AK89" s="833"/>
      <c r="AL89" s="247"/>
      <c r="AM89" s="320"/>
      <c r="AN89" s="320"/>
      <c r="AO89" s="320"/>
      <c r="AP89" s="320"/>
      <c r="AQ89" s="320"/>
      <c r="AR89" s="320"/>
      <c r="AS89" s="320"/>
      <c r="AT89" s="320"/>
      <c r="AU89" s="320"/>
      <c r="AV89" s="320"/>
      <c r="AW89" s="320"/>
      <c r="AX89" s="320"/>
      <c r="AY89" s="247"/>
      <c r="AZ89" s="12"/>
      <c r="BA89" s="736"/>
    </row>
    <row r="90" spans="1:53" ht="24" customHeight="1">
      <c r="A90" s="15"/>
      <c r="B90" s="664" t="s">
        <v>145</v>
      </c>
      <c r="C90" s="665"/>
      <c r="D90" s="665"/>
      <c r="E90" s="825"/>
      <c r="F90" s="826"/>
      <c r="G90" s="834" t="s">
        <v>146</v>
      </c>
      <c r="H90" s="835"/>
      <c r="I90" s="835"/>
      <c r="J90" s="835"/>
      <c r="K90" s="835"/>
      <c r="L90" s="835"/>
      <c r="M90" s="835"/>
      <c r="N90" s="835"/>
      <c r="O90" s="835"/>
      <c r="P90" s="835"/>
      <c r="Q90" s="835"/>
      <c r="R90" s="835"/>
      <c r="S90" s="835"/>
      <c r="T90" s="835"/>
      <c r="U90" s="835"/>
      <c r="V90" s="835"/>
      <c r="W90" s="835"/>
      <c r="X90" s="835"/>
      <c r="Y90" s="835"/>
      <c r="Z90" s="835"/>
      <c r="AA90" s="835"/>
      <c r="AB90" s="835"/>
      <c r="AC90" s="835"/>
      <c r="AD90" s="835"/>
      <c r="AE90" s="835"/>
      <c r="AF90" s="835"/>
      <c r="AG90" s="835"/>
      <c r="AH90" s="835"/>
      <c r="AI90" s="835"/>
      <c r="AJ90" s="835"/>
      <c r="AK90" s="835"/>
      <c r="AL90" s="334"/>
      <c r="AM90" s="817" t="str">
        <f>IF(AI58="該当", "！この区分（４項目）から２つ以上の取組が選択されていません。",  "！この区分（４項目）から１つ以上の取組が選択されていません。")</f>
        <v>！この区分（４項目）から１つ以上の取組が選択されていません。</v>
      </c>
      <c r="AN90" s="818"/>
      <c r="AO90" s="818"/>
      <c r="AP90" s="818"/>
      <c r="AQ90" s="818"/>
      <c r="AR90" s="818"/>
      <c r="AS90" s="818"/>
      <c r="AT90" s="818"/>
      <c r="AU90" s="818"/>
      <c r="AV90" s="818"/>
      <c r="AW90" s="818"/>
      <c r="AX90" s="819"/>
      <c r="AY90" s="247"/>
      <c r="AZ90" s="12"/>
      <c r="BA90" s="829">
        <f>COUNTIF(E90:F93, "✓")+COUNTIF(E90:F93, "誓約")</f>
        <v>0</v>
      </c>
    </row>
    <row r="91" spans="1:53" ht="15" customHeight="1" thickBot="1">
      <c r="A91" s="15"/>
      <c r="B91" s="666"/>
      <c r="C91" s="667"/>
      <c r="D91" s="667"/>
      <c r="E91" s="827"/>
      <c r="F91" s="828"/>
      <c r="G91" s="834" t="s">
        <v>147</v>
      </c>
      <c r="H91" s="835"/>
      <c r="I91" s="835"/>
      <c r="J91" s="835"/>
      <c r="K91" s="835"/>
      <c r="L91" s="835"/>
      <c r="M91" s="835"/>
      <c r="N91" s="835"/>
      <c r="O91" s="835"/>
      <c r="P91" s="835"/>
      <c r="Q91" s="835"/>
      <c r="R91" s="835"/>
      <c r="S91" s="835"/>
      <c r="T91" s="835"/>
      <c r="U91" s="835"/>
      <c r="V91" s="835"/>
      <c r="W91" s="835"/>
      <c r="X91" s="835"/>
      <c r="Y91" s="835"/>
      <c r="Z91" s="835"/>
      <c r="AA91" s="835"/>
      <c r="AB91" s="835"/>
      <c r="AC91" s="835"/>
      <c r="AD91" s="835"/>
      <c r="AE91" s="835"/>
      <c r="AF91" s="835"/>
      <c r="AG91" s="835"/>
      <c r="AH91" s="835"/>
      <c r="AI91" s="835"/>
      <c r="AJ91" s="835"/>
      <c r="AK91" s="835"/>
      <c r="AL91" s="247"/>
      <c r="AM91" s="820"/>
      <c r="AN91" s="821"/>
      <c r="AO91" s="821"/>
      <c r="AP91" s="821"/>
      <c r="AQ91" s="821"/>
      <c r="AR91" s="821"/>
      <c r="AS91" s="821"/>
      <c r="AT91" s="821"/>
      <c r="AU91" s="821"/>
      <c r="AV91" s="821"/>
      <c r="AW91" s="821"/>
      <c r="AX91" s="822"/>
      <c r="AY91" s="320"/>
      <c r="AZ91" s="331"/>
      <c r="BA91" s="829"/>
    </row>
    <row r="92" spans="1:53" ht="15" customHeight="1">
      <c r="A92" s="15"/>
      <c r="B92" s="666"/>
      <c r="C92" s="667"/>
      <c r="D92" s="667"/>
      <c r="E92" s="827"/>
      <c r="F92" s="828"/>
      <c r="G92" s="834" t="s">
        <v>148</v>
      </c>
      <c r="H92" s="835"/>
      <c r="I92" s="835"/>
      <c r="J92" s="835"/>
      <c r="K92" s="835"/>
      <c r="L92" s="835"/>
      <c r="M92" s="835"/>
      <c r="N92" s="835"/>
      <c r="O92" s="835"/>
      <c r="P92" s="835"/>
      <c r="Q92" s="835"/>
      <c r="R92" s="835"/>
      <c r="S92" s="835"/>
      <c r="T92" s="835"/>
      <c r="U92" s="835"/>
      <c r="V92" s="835"/>
      <c r="W92" s="835"/>
      <c r="X92" s="835"/>
      <c r="Y92" s="835"/>
      <c r="Z92" s="835"/>
      <c r="AA92" s="835"/>
      <c r="AB92" s="835"/>
      <c r="AC92" s="835"/>
      <c r="AD92" s="835"/>
      <c r="AE92" s="835"/>
      <c r="AF92" s="835"/>
      <c r="AG92" s="835"/>
      <c r="AH92" s="835"/>
      <c r="AI92" s="835"/>
      <c r="AJ92" s="835"/>
      <c r="AK92" s="835"/>
      <c r="AL92" s="247"/>
      <c r="AM92" s="284"/>
      <c r="AN92" s="284"/>
      <c r="AO92" s="284"/>
      <c r="AP92" s="284"/>
      <c r="AQ92" s="284"/>
      <c r="AR92" s="284"/>
      <c r="AS92" s="284"/>
      <c r="AT92" s="284"/>
      <c r="AU92" s="284"/>
      <c r="AV92" s="284"/>
      <c r="AW92" s="284"/>
      <c r="AX92" s="284"/>
      <c r="AY92" s="320"/>
      <c r="AZ92" s="331"/>
      <c r="BA92" s="829"/>
    </row>
    <row r="93" spans="1:53" ht="15" customHeight="1" thickBot="1">
      <c r="A93" s="15"/>
      <c r="B93" s="823"/>
      <c r="C93" s="824"/>
      <c r="D93" s="824"/>
      <c r="E93" s="830"/>
      <c r="F93" s="831"/>
      <c r="G93" s="834" t="s">
        <v>149</v>
      </c>
      <c r="H93" s="835"/>
      <c r="I93" s="835"/>
      <c r="J93" s="835"/>
      <c r="K93" s="835"/>
      <c r="L93" s="835"/>
      <c r="M93" s="835"/>
      <c r="N93" s="835"/>
      <c r="O93" s="835"/>
      <c r="P93" s="835"/>
      <c r="Q93" s="835"/>
      <c r="R93" s="835"/>
      <c r="S93" s="835"/>
      <c r="T93" s="835"/>
      <c r="U93" s="835"/>
      <c r="V93" s="835"/>
      <c r="W93" s="835"/>
      <c r="X93" s="835"/>
      <c r="Y93" s="835"/>
      <c r="Z93" s="835"/>
      <c r="AA93" s="835"/>
      <c r="AB93" s="835"/>
      <c r="AC93" s="835"/>
      <c r="AD93" s="835"/>
      <c r="AE93" s="835"/>
      <c r="AF93" s="835"/>
      <c r="AG93" s="835"/>
      <c r="AH93" s="835"/>
      <c r="AI93" s="835"/>
      <c r="AJ93" s="835"/>
      <c r="AK93" s="835"/>
      <c r="AL93" s="15"/>
      <c r="AM93" s="284"/>
      <c r="AN93" s="284"/>
      <c r="AO93" s="284"/>
      <c r="AP93" s="284"/>
      <c r="AQ93" s="284"/>
      <c r="AR93" s="284"/>
      <c r="AS93" s="284"/>
      <c r="AT93" s="284"/>
      <c r="AU93" s="284"/>
      <c r="AV93" s="284"/>
      <c r="AW93" s="284"/>
      <c r="AX93" s="284"/>
      <c r="AY93" s="15"/>
      <c r="BA93" s="829"/>
    </row>
    <row r="94" spans="1:53" ht="6" customHeight="1">
      <c r="A94" s="15"/>
      <c r="B94" s="322"/>
      <c r="C94" s="322"/>
      <c r="D94" s="322"/>
      <c r="E94" s="322"/>
      <c r="F94" s="322"/>
      <c r="G94" s="335"/>
      <c r="H94" s="335"/>
      <c r="I94" s="335"/>
      <c r="J94" s="335"/>
      <c r="K94" s="335"/>
      <c r="L94" s="335"/>
      <c r="M94" s="335"/>
      <c r="N94" s="335"/>
      <c r="O94" s="335"/>
      <c r="P94" s="335"/>
      <c r="Q94" s="335"/>
      <c r="R94" s="335"/>
      <c r="S94" s="335"/>
      <c r="T94" s="335"/>
      <c r="U94" s="335"/>
      <c r="V94" s="335"/>
      <c r="W94" s="335"/>
      <c r="X94" s="335"/>
      <c r="Y94" s="335"/>
      <c r="Z94" s="335"/>
      <c r="AA94" s="335"/>
      <c r="AB94" s="335"/>
      <c r="AC94" s="335"/>
      <c r="AD94" s="335"/>
      <c r="AE94" s="335"/>
      <c r="AF94" s="335"/>
      <c r="AG94" s="335"/>
      <c r="AH94" s="335"/>
      <c r="AI94" s="335"/>
      <c r="AJ94" s="335"/>
      <c r="AK94" s="335"/>
      <c r="AL94" s="15"/>
      <c r="AM94" s="336"/>
      <c r="AN94" s="247"/>
      <c r="AO94" s="334"/>
      <c r="AP94" s="334"/>
      <c r="AQ94" s="334"/>
      <c r="AR94" s="334"/>
      <c r="AS94" s="334"/>
      <c r="AT94" s="334"/>
      <c r="AU94" s="334"/>
      <c r="AV94" s="334"/>
      <c r="AW94" s="334"/>
      <c r="AX94" s="334"/>
      <c r="AY94" s="334"/>
      <c r="AZ94" s="96"/>
    </row>
    <row r="95" spans="1:53" s="12" customFormat="1" ht="17.45" customHeight="1" thickBot="1">
      <c r="A95" s="334"/>
      <c r="B95" s="337" t="s">
        <v>150</v>
      </c>
      <c r="C95" s="338"/>
      <c r="D95" s="338"/>
      <c r="E95" s="338"/>
      <c r="F95" s="338"/>
      <c r="G95" s="338"/>
      <c r="H95" s="338"/>
      <c r="I95" s="338"/>
      <c r="J95" s="338"/>
      <c r="K95" s="338"/>
      <c r="L95" s="338"/>
      <c r="M95" s="338"/>
      <c r="N95" s="338"/>
      <c r="O95" s="338"/>
      <c r="P95" s="338"/>
      <c r="Q95" s="338"/>
      <c r="R95" s="338"/>
      <c r="S95" s="338"/>
      <c r="T95" s="338"/>
      <c r="U95" s="338"/>
      <c r="V95" s="338"/>
      <c r="W95" s="338"/>
      <c r="X95" s="338"/>
      <c r="Y95" s="338"/>
      <c r="Z95" s="338"/>
      <c r="AA95" s="338"/>
      <c r="AB95" s="338"/>
      <c r="AC95" s="338"/>
      <c r="AD95" s="338"/>
      <c r="AE95" s="338"/>
      <c r="AF95" s="338"/>
      <c r="AG95" s="338"/>
      <c r="AH95" s="338"/>
      <c r="AI95" s="338"/>
      <c r="AJ95" s="338"/>
      <c r="AK95" s="338"/>
      <c r="AL95" s="247"/>
      <c r="AM95" s="334"/>
      <c r="AN95" s="339"/>
      <c r="AO95" s="340"/>
      <c r="AP95" s="340"/>
      <c r="AQ95" s="340"/>
      <c r="AR95" s="340"/>
      <c r="AS95" s="340"/>
      <c r="AT95" s="340"/>
      <c r="AU95" s="340"/>
      <c r="AV95" s="340"/>
      <c r="AW95" s="340"/>
      <c r="AX95" s="340"/>
      <c r="AY95" s="340"/>
      <c r="AZ95" s="97"/>
    </row>
    <row r="96" spans="1:53" s="97" customFormat="1" ht="18.600000000000001" customHeight="1" thickBot="1">
      <c r="A96" s="334"/>
      <c r="B96" s="341" t="s">
        <v>66</v>
      </c>
      <c r="C96" s="805" t="s">
        <v>151</v>
      </c>
      <c r="D96" s="805"/>
      <c r="E96" s="805"/>
      <c r="F96" s="805"/>
      <c r="G96" s="805"/>
      <c r="H96" s="805"/>
      <c r="I96" s="805"/>
      <c r="J96" s="805"/>
      <c r="K96" s="805"/>
      <c r="L96" s="805"/>
      <c r="M96" s="805"/>
      <c r="N96" s="805"/>
      <c r="O96" s="805"/>
      <c r="P96" s="805"/>
      <c r="Q96" s="805"/>
      <c r="R96" s="805"/>
      <c r="S96" s="805"/>
      <c r="T96" s="805"/>
      <c r="U96" s="805"/>
      <c r="V96" s="805"/>
      <c r="W96" s="805"/>
      <c r="X96" s="805"/>
      <c r="Y96" s="805"/>
      <c r="Z96" s="805"/>
      <c r="AA96" s="805"/>
      <c r="AB96" s="805"/>
      <c r="AC96" s="805"/>
      <c r="AD96" s="805"/>
      <c r="AE96" s="805"/>
      <c r="AF96" s="805"/>
      <c r="AG96" s="805"/>
      <c r="AH96" s="805"/>
      <c r="AI96" s="805"/>
      <c r="AJ96" s="806"/>
      <c r="AK96" s="342" t="str">
        <f>IF(AND($BA40=0,$BE40=0),"",IF($AI58="該当",IF(COUNTIF($F97:$F98,"✓")&gt;0,"○","×"),"×"))</f>
        <v/>
      </c>
      <c r="AL96" s="15"/>
      <c r="AY96" s="96"/>
    </row>
    <row r="97" spans="1:56" s="96" customFormat="1" ht="29.25" customHeight="1">
      <c r="A97" s="334"/>
      <c r="B97" s="807" t="s">
        <v>152</v>
      </c>
      <c r="C97" s="808"/>
      <c r="D97" s="808"/>
      <c r="E97" s="809" t="b">
        <v>0</v>
      </c>
      <c r="F97" s="398"/>
      <c r="G97" s="813" t="s">
        <v>153</v>
      </c>
      <c r="H97" s="813"/>
      <c r="I97" s="813"/>
      <c r="J97" s="813"/>
      <c r="K97" s="813"/>
      <c r="L97" s="813"/>
      <c r="M97" s="813"/>
      <c r="N97" s="813"/>
      <c r="O97" s="813"/>
      <c r="P97" s="813"/>
      <c r="Q97" s="813"/>
      <c r="R97" s="813"/>
      <c r="S97" s="813"/>
      <c r="T97" s="813"/>
      <c r="U97" s="813"/>
      <c r="V97" s="813"/>
      <c r="W97" s="813"/>
      <c r="X97" s="813"/>
      <c r="Y97" s="813"/>
      <c r="Z97" s="813"/>
      <c r="AA97" s="813"/>
      <c r="AB97" s="813"/>
      <c r="AC97" s="813"/>
      <c r="AD97" s="813"/>
      <c r="AE97" s="813"/>
      <c r="AF97" s="813"/>
      <c r="AG97" s="813"/>
      <c r="AH97" s="813"/>
      <c r="AI97" s="813"/>
      <c r="AJ97" s="813"/>
      <c r="AK97" s="814"/>
      <c r="AL97" s="247"/>
      <c r="AM97" s="817" t="s">
        <v>154</v>
      </c>
      <c r="AN97" s="818"/>
      <c r="AO97" s="818"/>
      <c r="AP97" s="818"/>
      <c r="AQ97" s="818"/>
      <c r="AR97" s="818"/>
      <c r="AS97" s="818"/>
      <c r="AT97" s="818"/>
      <c r="AU97" s="818"/>
      <c r="AV97" s="818"/>
      <c r="AW97" s="818"/>
      <c r="AX97" s="819"/>
    </row>
    <row r="98" spans="1:56" s="96" customFormat="1" ht="29.25" customHeight="1" thickBot="1">
      <c r="A98" s="334"/>
      <c r="B98" s="810"/>
      <c r="C98" s="811"/>
      <c r="D98" s="811"/>
      <c r="E98" s="812" t="b">
        <v>0</v>
      </c>
      <c r="F98" s="399"/>
      <c r="G98" s="815" t="s">
        <v>155</v>
      </c>
      <c r="H98" s="815"/>
      <c r="I98" s="815"/>
      <c r="J98" s="815"/>
      <c r="K98" s="815"/>
      <c r="L98" s="815"/>
      <c r="M98" s="815"/>
      <c r="N98" s="815"/>
      <c r="O98" s="815"/>
      <c r="P98" s="815"/>
      <c r="Q98" s="815"/>
      <c r="R98" s="815"/>
      <c r="S98" s="815"/>
      <c r="T98" s="815"/>
      <c r="U98" s="815"/>
      <c r="V98" s="815"/>
      <c r="W98" s="815"/>
      <c r="X98" s="815"/>
      <c r="Y98" s="815"/>
      <c r="Z98" s="815"/>
      <c r="AA98" s="815"/>
      <c r="AB98" s="815"/>
      <c r="AC98" s="815"/>
      <c r="AD98" s="815"/>
      <c r="AE98" s="815"/>
      <c r="AF98" s="815"/>
      <c r="AG98" s="815"/>
      <c r="AH98" s="815"/>
      <c r="AI98" s="815"/>
      <c r="AJ98" s="815"/>
      <c r="AK98" s="816"/>
      <c r="AL98" s="15"/>
      <c r="AM98" s="820"/>
      <c r="AN98" s="821"/>
      <c r="AO98" s="821"/>
      <c r="AP98" s="821"/>
      <c r="AQ98" s="821"/>
      <c r="AR98" s="821"/>
      <c r="AS98" s="821"/>
      <c r="AT98" s="821"/>
      <c r="AU98" s="821"/>
      <c r="AV98" s="821"/>
      <c r="AW98" s="821"/>
      <c r="AX98" s="822"/>
      <c r="AY98" s="334"/>
    </row>
    <row r="99" spans="1:56" s="96" customFormat="1" ht="6" customHeight="1">
      <c r="A99" s="247"/>
      <c r="B99" s="343"/>
      <c r="C99" s="241"/>
      <c r="D99" s="241"/>
      <c r="E99" s="241"/>
      <c r="F99" s="241"/>
      <c r="G99" s="241"/>
      <c r="H99" s="241"/>
      <c r="I99" s="241"/>
      <c r="J99" s="241"/>
      <c r="K99" s="241"/>
      <c r="L99" s="241"/>
      <c r="M99" s="241"/>
      <c r="N99" s="241"/>
      <c r="O99" s="241"/>
      <c r="P99" s="241"/>
      <c r="Q99" s="241"/>
      <c r="R99" s="241"/>
      <c r="S99" s="241"/>
      <c r="T99" s="241"/>
      <c r="U99" s="241"/>
      <c r="V99" s="241"/>
      <c r="W99" s="241"/>
      <c r="X99" s="241"/>
      <c r="Y99" s="241"/>
      <c r="Z99" s="241"/>
      <c r="AA99" s="241"/>
      <c r="AB99" s="241"/>
      <c r="AC99" s="241"/>
      <c r="AD99" s="241"/>
      <c r="AE99" s="241"/>
      <c r="AF99" s="241"/>
      <c r="AG99" s="241"/>
      <c r="AH99" s="241"/>
      <c r="AI99" s="241"/>
      <c r="AJ99" s="241"/>
      <c r="AK99" s="241"/>
      <c r="AL99" s="15"/>
      <c r="AM99" s="334"/>
      <c r="AN99" s="15"/>
      <c r="AO99" s="247"/>
      <c r="AP99" s="247"/>
      <c r="AQ99" s="247"/>
      <c r="AR99" s="247"/>
      <c r="AS99" s="247"/>
      <c r="AT99" s="247"/>
      <c r="AU99" s="247"/>
      <c r="AV99" s="247"/>
      <c r="AW99" s="247"/>
      <c r="AX99" s="247"/>
      <c r="AY99" s="247"/>
      <c r="AZ99" s="12"/>
    </row>
    <row r="100" spans="1:56" s="16" customFormat="1" ht="19.899999999999999" customHeight="1">
      <c r="A100" s="283"/>
      <c r="B100" s="344" t="s">
        <v>156</v>
      </c>
      <c r="C100" s="344"/>
      <c r="D100" s="344"/>
      <c r="E100" s="344"/>
      <c r="F100" s="344"/>
      <c r="G100" s="344"/>
      <c r="H100" s="344"/>
      <c r="I100" s="344"/>
      <c r="J100" s="345"/>
      <c r="K100" s="345"/>
      <c r="L100" s="345"/>
      <c r="M100" s="345"/>
      <c r="N100" s="345"/>
      <c r="O100" s="345"/>
      <c r="P100" s="345"/>
      <c r="Q100" s="345"/>
      <c r="R100" s="345"/>
      <c r="S100" s="345"/>
      <c r="T100" s="345"/>
      <c r="U100" s="345"/>
      <c r="V100" s="345"/>
      <c r="W100" s="345"/>
      <c r="X100" s="345"/>
      <c r="Y100" s="345"/>
      <c r="Z100" s="345"/>
      <c r="AA100" s="345"/>
      <c r="AB100" s="345"/>
      <c r="AC100" s="345"/>
      <c r="AD100" s="345"/>
      <c r="AE100" s="345"/>
      <c r="AF100" s="345"/>
      <c r="AG100" s="345"/>
      <c r="AH100" s="345"/>
      <c r="AI100" s="345"/>
      <c r="AJ100" s="345"/>
      <c r="AK100" s="15"/>
      <c r="AL100" s="283"/>
      <c r="AM100" s="768"/>
      <c r="AN100" s="768"/>
      <c r="AO100" s="768"/>
      <c r="AP100" s="768"/>
      <c r="AQ100" s="768"/>
      <c r="AR100" s="768"/>
      <c r="AS100" s="768"/>
      <c r="AT100" s="768"/>
      <c r="AU100" s="768"/>
      <c r="AV100" s="768"/>
      <c r="AW100" s="768"/>
      <c r="AX100" s="768"/>
      <c r="AY100" s="768"/>
      <c r="BA100" s="769" t="s">
        <v>78</v>
      </c>
      <c r="BB100" s="769"/>
      <c r="BC100" s="769"/>
      <c r="BD100" s="769"/>
    </row>
    <row r="101" spans="1:56" ht="27.6" customHeight="1" thickBot="1">
      <c r="A101" s="335"/>
      <c r="B101" s="346" t="s">
        <v>157</v>
      </c>
      <c r="C101" s="347"/>
      <c r="D101" s="347"/>
      <c r="E101" s="347"/>
      <c r="F101" s="347"/>
      <c r="G101" s="347"/>
      <c r="H101" s="347"/>
      <c r="I101" s="347"/>
      <c r="J101" s="347"/>
      <c r="K101" s="347"/>
      <c r="L101" s="347"/>
      <c r="M101" s="347"/>
      <c r="N101" s="347"/>
      <c r="O101" s="347"/>
      <c r="P101" s="347"/>
      <c r="Q101" s="347"/>
      <c r="R101" s="347"/>
      <c r="S101" s="347"/>
      <c r="T101" s="347"/>
      <c r="U101" s="347"/>
      <c r="V101" s="347"/>
      <c r="W101" s="347"/>
      <c r="X101" s="347"/>
      <c r="Y101" s="347"/>
      <c r="Z101" s="347"/>
      <c r="AA101" s="347"/>
      <c r="AB101" s="347"/>
      <c r="AC101" s="347"/>
      <c r="AD101" s="347"/>
      <c r="AE101" s="347"/>
      <c r="AF101" s="347"/>
      <c r="AG101" s="347"/>
      <c r="AH101" s="347"/>
      <c r="AI101" s="347"/>
      <c r="AJ101" s="347"/>
      <c r="AK101" s="348"/>
      <c r="AM101" s="768"/>
      <c r="AN101" s="768"/>
      <c r="AO101" s="768"/>
      <c r="AP101" s="768"/>
      <c r="AQ101" s="768"/>
      <c r="AR101" s="768"/>
      <c r="AS101" s="768"/>
      <c r="AT101" s="768"/>
      <c r="AU101" s="768"/>
      <c r="AV101" s="768"/>
      <c r="AW101" s="768"/>
      <c r="AX101" s="768"/>
      <c r="AY101" s="768"/>
    </row>
    <row r="102" spans="1:56" ht="111" customHeight="1" thickBot="1">
      <c r="A102" s="335"/>
      <c r="B102" s="775" t="s">
        <v>158</v>
      </c>
      <c r="C102" s="776"/>
      <c r="D102" s="776"/>
      <c r="E102" s="776"/>
      <c r="F102" s="776"/>
      <c r="G102" s="776"/>
      <c r="H102" s="776"/>
      <c r="I102" s="776"/>
      <c r="J102" s="776"/>
      <c r="K102" s="776"/>
      <c r="L102" s="776"/>
      <c r="M102" s="776"/>
      <c r="N102" s="776"/>
      <c r="O102" s="776"/>
      <c r="P102" s="776"/>
      <c r="Q102" s="776"/>
      <c r="R102" s="776"/>
      <c r="S102" s="776"/>
      <c r="T102" s="776"/>
      <c r="U102" s="776"/>
      <c r="V102" s="776"/>
      <c r="W102" s="776"/>
      <c r="X102" s="776"/>
      <c r="Y102" s="776"/>
      <c r="Z102" s="776"/>
      <c r="AA102" s="776"/>
      <c r="AB102" s="776"/>
      <c r="AC102" s="776"/>
      <c r="AD102" s="776"/>
      <c r="AE102" s="776"/>
      <c r="AF102" s="776"/>
      <c r="AG102" s="776"/>
      <c r="AH102" s="776"/>
      <c r="AI102" s="776"/>
      <c r="AJ102" s="776"/>
      <c r="AK102" s="257" t="str">
        <f>IF(H6="","",IF(AND('別紙様式2-2（個票（４、５月））'!BF12=0,'別紙様式2-3（個票（６月以降））'!BJ12=0),"",IF(AND(ISNUMBER(MATCH('別紙様式2-2（個票（４、５月））'!AJ9,{"","○"},0)),ISNUMBER(MATCH('別紙様式2-3（個票（６月以降））'!AJ9,{"","○"},0))),"○","×")))</f>
        <v/>
      </c>
      <c r="AR102" s="349"/>
    </row>
    <row r="103" spans="1:56" s="12" customFormat="1" ht="7.15" customHeight="1">
      <c r="A103" s="247"/>
      <c r="B103" s="347"/>
      <c r="C103" s="347"/>
      <c r="D103" s="347"/>
      <c r="E103" s="347"/>
      <c r="F103" s="347"/>
      <c r="G103" s="347"/>
      <c r="H103" s="347"/>
      <c r="I103" s="347"/>
      <c r="J103" s="347"/>
      <c r="K103" s="347"/>
      <c r="L103" s="347"/>
      <c r="M103" s="347"/>
      <c r="N103" s="347"/>
      <c r="O103" s="347"/>
      <c r="P103" s="347"/>
      <c r="Q103" s="347"/>
      <c r="R103" s="347"/>
      <c r="S103" s="347"/>
      <c r="T103" s="347"/>
      <c r="U103" s="347"/>
      <c r="V103" s="347"/>
      <c r="W103" s="347"/>
      <c r="X103" s="347"/>
      <c r="Y103" s="347"/>
      <c r="Z103" s="347"/>
      <c r="AA103" s="347"/>
      <c r="AB103" s="347"/>
      <c r="AC103" s="347"/>
      <c r="AD103" s="347"/>
      <c r="AE103" s="347"/>
      <c r="AF103" s="347"/>
      <c r="AG103" s="347"/>
      <c r="AH103" s="347"/>
      <c r="AI103" s="347"/>
      <c r="AJ103" s="347"/>
      <c r="AK103" s="348"/>
      <c r="AL103" s="247"/>
      <c r="AM103" s="330"/>
      <c r="AN103" s="330"/>
      <c r="AO103" s="330"/>
      <c r="AP103" s="330"/>
      <c r="AQ103" s="330"/>
      <c r="AR103" s="330"/>
      <c r="AS103" s="330"/>
      <c r="AT103" s="330"/>
      <c r="AU103" s="330"/>
      <c r="AV103" s="330"/>
      <c r="AW103" s="330"/>
      <c r="AX103" s="330"/>
      <c r="AY103" s="330"/>
      <c r="BA103" s="350"/>
      <c r="BB103" s="350"/>
      <c r="BC103" s="350"/>
      <c r="BD103" s="350"/>
    </row>
    <row r="104" spans="1:56" s="12" customFormat="1" ht="19.149999999999999" customHeight="1">
      <c r="A104" s="15"/>
      <c r="B104" s="245" t="s">
        <v>159</v>
      </c>
      <c r="C104" s="245"/>
      <c r="D104" s="245"/>
      <c r="E104" s="245"/>
      <c r="F104" s="245"/>
      <c r="G104" s="245"/>
      <c r="H104" s="245"/>
      <c r="I104" s="245"/>
      <c r="J104" s="246"/>
      <c r="K104" s="246"/>
      <c r="L104" s="246"/>
      <c r="M104" s="246"/>
      <c r="N104" s="246"/>
      <c r="O104" s="246"/>
      <c r="P104" s="246"/>
      <c r="Q104" s="246"/>
      <c r="R104" s="246"/>
      <c r="S104" s="246"/>
      <c r="T104" s="246"/>
      <c r="U104" s="246"/>
      <c r="V104" s="246"/>
      <c r="W104" s="246"/>
      <c r="X104" s="246"/>
      <c r="Y104" s="246"/>
      <c r="Z104" s="246"/>
      <c r="AA104" s="246"/>
      <c r="AB104" s="246"/>
      <c r="AC104" s="246"/>
      <c r="AD104" s="246"/>
      <c r="AE104" s="246"/>
      <c r="AF104" s="246"/>
      <c r="AG104" s="246"/>
      <c r="AH104" s="246"/>
      <c r="AI104" s="246"/>
      <c r="AJ104" s="246"/>
      <c r="AK104" s="246"/>
      <c r="AL104" s="15"/>
      <c r="AM104" s="247"/>
      <c r="AN104" s="15"/>
      <c r="AO104" s="15"/>
      <c r="AP104" s="15"/>
      <c r="AQ104" s="15"/>
      <c r="AR104" s="15"/>
      <c r="AS104" s="15"/>
      <c r="AT104" s="15"/>
      <c r="AU104" s="15"/>
      <c r="AV104" s="15"/>
      <c r="AW104" s="15"/>
      <c r="AX104" s="15"/>
      <c r="AY104" s="15"/>
      <c r="AZ104"/>
    </row>
    <row r="105" spans="1:56" ht="16.5" customHeight="1" thickBot="1">
      <c r="A105" s="247"/>
      <c r="B105" s="267" t="s">
        <v>66</v>
      </c>
      <c r="C105" s="351" t="s">
        <v>160</v>
      </c>
      <c r="D105" s="352"/>
      <c r="E105" s="352"/>
      <c r="F105" s="352"/>
      <c r="G105" s="352"/>
      <c r="H105" s="352"/>
      <c r="I105" s="352"/>
      <c r="J105" s="352"/>
      <c r="K105" s="352"/>
      <c r="L105" s="352"/>
      <c r="M105" s="352"/>
      <c r="N105" s="352"/>
      <c r="O105" s="352"/>
      <c r="P105" s="352"/>
      <c r="Q105" s="352"/>
      <c r="R105" s="352"/>
      <c r="S105" s="352"/>
      <c r="T105" s="352"/>
      <c r="U105" s="352"/>
      <c r="V105" s="352"/>
      <c r="W105" s="352"/>
      <c r="X105" s="352"/>
      <c r="Y105" s="352"/>
      <c r="Z105" s="352"/>
      <c r="AA105" s="352"/>
      <c r="AB105" s="352"/>
      <c r="AC105" s="352"/>
      <c r="AD105" s="352"/>
      <c r="AE105" s="352"/>
      <c r="AF105" s="352"/>
      <c r="AG105" s="352"/>
      <c r="AH105" s="352"/>
      <c r="AI105" s="352"/>
      <c r="AJ105" s="352"/>
      <c r="AK105" s="15"/>
      <c r="AL105" s="15"/>
      <c r="AM105" s="15"/>
      <c r="AN105" s="320"/>
      <c r="AO105" s="320"/>
      <c r="AP105" s="320"/>
      <c r="AQ105" s="320"/>
      <c r="AR105" s="320"/>
      <c r="AS105" s="320"/>
      <c r="AT105" s="320"/>
      <c r="AU105" s="320"/>
      <c r="AV105" s="320"/>
      <c r="AW105" s="320"/>
      <c r="AX105" s="320"/>
      <c r="AY105" s="320"/>
      <c r="AZ105" s="12"/>
    </row>
    <row r="106" spans="1:56" s="12" customFormat="1" ht="39.6" customHeight="1" thickBot="1">
      <c r="A106" s="247"/>
      <c r="B106" s="353" t="s">
        <v>161</v>
      </c>
      <c r="C106" s="354"/>
      <c r="D106" s="354"/>
      <c r="E106" s="354"/>
      <c r="F106" s="354"/>
      <c r="G106" s="354"/>
      <c r="H106" s="354"/>
      <c r="I106" s="354"/>
      <c r="J106" s="354"/>
      <c r="K106" s="354"/>
      <c r="L106" s="354"/>
      <c r="M106" s="354"/>
      <c r="N106" s="354"/>
      <c r="O106" s="354"/>
      <c r="P106" s="354"/>
      <c r="Q106" s="354"/>
      <c r="R106" s="354"/>
      <c r="S106" s="354"/>
      <c r="T106" s="354"/>
      <c r="U106" s="354"/>
      <c r="V106" s="354"/>
      <c r="W106" s="354"/>
      <c r="X106" s="354"/>
      <c r="Y106" s="354"/>
      <c r="Z106" s="354"/>
      <c r="AA106" s="354"/>
      <c r="AB106" s="354"/>
      <c r="AC106" s="354"/>
      <c r="AD106" s="355"/>
      <c r="AE106" s="798" t="s">
        <v>162</v>
      </c>
      <c r="AF106" s="799"/>
      <c r="AG106" s="799"/>
      <c r="AH106" s="799"/>
      <c r="AI106" s="799"/>
      <c r="AJ106" s="800"/>
      <c r="AK106" s="257" t="str">
        <f>IF(H6="", "", IF(AND(BA107=TRUE,OR(BA108=TRUE),BA109=TRUE,BA110=TRUE, BA112=TRUE, BA111=TRUE,BA113=TRUE),"○","×"))</f>
        <v/>
      </c>
      <c r="AL106" s="15"/>
      <c r="AM106" s="801" t="s">
        <v>163</v>
      </c>
      <c r="AN106" s="802"/>
      <c r="AO106" s="802"/>
      <c r="AP106" s="802"/>
      <c r="AQ106" s="802"/>
      <c r="AR106" s="802"/>
      <c r="AS106" s="802"/>
      <c r="AT106" s="802"/>
      <c r="AU106" s="802"/>
      <c r="AV106" s="802"/>
      <c r="AW106" s="802"/>
      <c r="AX106" s="802"/>
      <c r="AY106" s="803"/>
      <c r="BA106" s="356"/>
    </row>
    <row r="107" spans="1:56" s="12" customFormat="1" ht="48.75" customHeight="1">
      <c r="A107" s="247"/>
      <c r="B107" s="503"/>
      <c r="C107" s="777" t="s">
        <v>164</v>
      </c>
      <c r="D107" s="778"/>
      <c r="E107" s="778"/>
      <c r="F107" s="778"/>
      <c r="G107" s="778"/>
      <c r="H107" s="778"/>
      <c r="I107" s="778"/>
      <c r="J107" s="778"/>
      <c r="K107" s="778"/>
      <c r="L107" s="778"/>
      <c r="M107" s="778"/>
      <c r="N107" s="778"/>
      <c r="O107" s="778"/>
      <c r="P107" s="778"/>
      <c r="Q107" s="778"/>
      <c r="R107" s="778"/>
      <c r="S107" s="778"/>
      <c r="T107" s="778"/>
      <c r="U107" s="778"/>
      <c r="V107" s="778"/>
      <c r="W107" s="778"/>
      <c r="X107" s="778"/>
      <c r="Y107" s="778"/>
      <c r="Z107" s="778"/>
      <c r="AA107" s="778"/>
      <c r="AB107" s="778"/>
      <c r="AC107" s="778"/>
      <c r="AD107" s="779"/>
      <c r="AE107" s="787" t="s">
        <v>165</v>
      </c>
      <c r="AF107" s="788"/>
      <c r="AG107" s="788"/>
      <c r="AH107" s="788"/>
      <c r="AI107" s="788"/>
      <c r="AJ107" s="788"/>
      <c r="AK107" s="804"/>
      <c r="AL107" s="15"/>
      <c r="AM107" s="247"/>
      <c r="AN107" s="284"/>
      <c r="AO107" s="284"/>
      <c r="AP107" s="284"/>
      <c r="AQ107" s="284"/>
      <c r="AR107" s="284"/>
      <c r="AS107" s="284"/>
      <c r="AT107" s="284"/>
      <c r="AU107" s="284"/>
      <c r="AV107" s="284"/>
      <c r="AW107" s="247"/>
      <c r="AX107" s="247"/>
      <c r="AY107" s="247"/>
      <c r="AZ107" s="313"/>
      <c r="BA107" s="507" t="b">
        <v>0</v>
      </c>
      <c r="BB107" s="357"/>
    </row>
    <row r="108" spans="1:56" s="12" customFormat="1" ht="37.15" customHeight="1">
      <c r="A108" s="247"/>
      <c r="B108" s="504"/>
      <c r="C108" s="777" t="s">
        <v>166</v>
      </c>
      <c r="D108" s="778"/>
      <c r="E108" s="778"/>
      <c r="F108" s="778"/>
      <c r="G108" s="778"/>
      <c r="H108" s="778"/>
      <c r="I108" s="778"/>
      <c r="J108" s="778"/>
      <c r="K108" s="778"/>
      <c r="L108" s="778"/>
      <c r="M108" s="778"/>
      <c r="N108" s="778"/>
      <c r="O108" s="778"/>
      <c r="P108" s="778"/>
      <c r="Q108" s="778"/>
      <c r="R108" s="778"/>
      <c r="S108" s="778"/>
      <c r="T108" s="778"/>
      <c r="U108" s="778"/>
      <c r="V108" s="778"/>
      <c r="W108" s="778"/>
      <c r="X108" s="778"/>
      <c r="Y108" s="778"/>
      <c r="Z108" s="778"/>
      <c r="AA108" s="778"/>
      <c r="AB108" s="778"/>
      <c r="AC108" s="778"/>
      <c r="AD108" s="779"/>
      <c r="AE108" s="787" t="s">
        <v>165</v>
      </c>
      <c r="AF108" s="788"/>
      <c r="AG108" s="788"/>
      <c r="AH108" s="788"/>
      <c r="AI108" s="788"/>
      <c r="AJ108" s="788"/>
      <c r="AK108" s="788"/>
      <c r="AL108" s="15"/>
      <c r="AM108" s="247"/>
      <c r="AN108" s="284"/>
      <c r="AO108" s="284"/>
      <c r="AP108" s="284"/>
      <c r="AQ108" s="284"/>
      <c r="AR108" s="284"/>
      <c r="AS108" s="284"/>
      <c r="AT108" s="284"/>
      <c r="AU108" s="284"/>
      <c r="AV108" s="284"/>
      <c r="AW108" s="247"/>
      <c r="AX108" s="247"/>
      <c r="AY108" s="247"/>
      <c r="BA108" s="508" t="b">
        <v>0</v>
      </c>
    </row>
    <row r="109" spans="1:56" s="12" customFormat="1" ht="36.6" customHeight="1">
      <c r="A109" s="247"/>
      <c r="B109" s="504"/>
      <c r="C109" s="780" t="s">
        <v>167</v>
      </c>
      <c r="D109" s="781"/>
      <c r="E109" s="781"/>
      <c r="F109" s="781"/>
      <c r="G109" s="781"/>
      <c r="H109" s="781"/>
      <c r="I109" s="781"/>
      <c r="J109" s="781"/>
      <c r="K109" s="781"/>
      <c r="L109" s="781"/>
      <c r="M109" s="781"/>
      <c r="N109" s="781"/>
      <c r="O109" s="781"/>
      <c r="P109" s="781"/>
      <c r="Q109" s="781"/>
      <c r="R109" s="781"/>
      <c r="S109" s="781"/>
      <c r="T109" s="781"/>
      <c r="U109" s="781"/>
      <c r="V109" s="781"/>
      <c r="W109" s="781"/>
      <c r="X109" s="781"/>
      <c r="Y109" s="781"/>
      <c r="Z109" s="781"/>
      <c r="AA109" s="781"/>
      <c r="AB109" s="781"/>
      <c r="AC109" s="781"/>
      <c r="AD109" s="782"/>
      <c r="AE109" s="787" t="s">
        <v>168</v>
      </c>
      <c r="AF109" s="788"/>
      <c r="AG109" s="788"/>
      <c r="AH109" s="788"/>
      <c r="AI109" s="788"/>
      <c r="AJ109" s="788"/>
      <c r="AK109" s="788"/>
      <c r="AL109" s="15"/>
      <c r="AM109" s="247"/>
      <c r="AN109" s="247"/>
      <c r="AO109" s="247"/>
      <c r="AP109" s="284"/>
      <c r="AQ109" s="247"/>
      <c r="AR109" s="247"/>
      <c r="AS109" s="247"/>
      <c r="AT109" s="247"/>
      <c r="AU109" s="247"/>
      <c r="AV109" s="247"/>
      <c r="AW109" s="247"/>
      <c r="AX109" s="247"/>
      <c r="AY109" s="247"/>
      <c r="BA109" s="508" t="b">
        <v>0</v>
      </c>
    </row>
    <row r="110" spans="1:56" s="12" customFormat="1" ht="28.9" customHeight="1">
      <c r="A110" s="247"/>
      <c r="B110" s="504"/>
      <c r="C110" s="780" t="s">
        <v>169</v>
      </c>
      <c r="D110" s="781"/>
      <c r="E110" s="781"/>
      <c r="F110" s="781"/>
      <c r="G110" s="781"/>
      <c r="H110" s="781"/>
      <c r="I110" s="781"/>
      <c r="J110" s="781"/>
      <c r="K110" s="781"/>
      <c r="L110" s="781"/>
      <c r="M110" s="781"/>
      <c r="N110" s="781"/>
      <c r="O110" s="781"/>
      <c r="P110" s="781"/>
      <c r="Q110" s="781"/>
      <c r="R110" s="781"/>
      <c r="S110" s="781"/>
      <c r="T110" s="781"/>
      <c r="U110" s="781"/>
      <c r="V110" s="781"/>
      <c r="W110" s="781"/>
      <c r="X110" s="781"/>
      <c r="Y110" s="781"/>
      <c r="Z110" s="781"/>
      <c r="AA110" s="781"/>
      <c r="AB110" s="781"/>
      <c r="AC110" s="781"/>
      <c r="AD110" s="782"/>
      <c r="AE110" s="785" t="s">
        <v>170</v>
      </c>
      <c r="AF110" s="786"/>
      <c r="AG110" s="786"/>
      <c r="AH110" s="786"/>
      <c r="AI110" s="786"/>
      <c r="AJ110" s="786"/>
      <c r="AK110" s="786"/>
      <c r="AL110" s="15"/>
      <c r="AM110" s="247"/>
      <c r="AN110" s="358"/>
      <c r="AO110" s="358"/>
      <c r="AP110" s="358"/>
      <c r="AQ110" s="247"/>
      <c r="AR110" s="247"/>
      <c r="AS110" s="247"/>
      <c r="AT110" s="247"/>
      <c r="AU110" s="247"/>
      <c r="AV110" s="247"/>
      <c r="AW110" s="247"/>
      <c r="AX110" s="247"/>
      <c r="AY110" s="247"/>
      <c r="BA110" s="508" t="b">
        <v>0</v>
      </c>
    </row>
    <row r="111" spans="1:56" s="12" customFormat="1" ht="22.15" customHeight="1">
      <c r="A111" s="247"/>
      <c r="B111" s="504"/>
      <c r="C111" s="780" t="s">
        <v>171</v>
      </c>
      <c r="D111" s="781"/>
      <c r="E111" s="781"/>
      <c r="F111" s="781"/>
      <c r="G111" s="781"/>
      <c r="H111" s="781"/>
      <c r="I111" s="781"/>
      <c r="J111" s="781"/>
      <c r="K111" s="781"/>
      <c r="L111" s="781"/>
      <c r="M111" s="781"/>
      <c r="N111" s="781"/>
      <c r="O111" s="781"/>
      <c r="P111" s="781"/>
      <c r="Q111" s="781"/>
      <c r="R111" s="781"/>
      <c r="S111" s="781"/>
      <c r="T111" s="781"/>
      <c r="U111" s="781"/>
      <c r="V111" s="781"/>
      <c r="W111" s="781"/>
      <c r="X111" s="781"/>
      <c r="Y111" s="781"/>
      <c r="Z111" s="781"/>
      <c r="AA111" s="781"/>
      <c r="AB111" s="781"/>
      <c r="AC111" s="781"/>
      <c r="AD111" s="782"/>
      <c r="AE111" s="787" t="s">
        <v>172</v>
      </c>
      <c r="AF111" s="788"/>
      <c r="AG111" s="788"/>
      <c r="AH111" s="788"/>
      <c r="AI111" s="788"/>
      <c r="AJ111" s="788"/>
      <c r="AK111" s="788"/>
      <c r="AL111" s="15"/>
      <c r="AM111" s="247"/>
      <c r="AN111" s="358"/>
      <c r="AO111" s="358"/>
      <c r="AP111" s="358"/>
      <c r="AQ111" s="247"/>
      <c r="AR111" s="247"/>
      <c r="AS111" s="247"/>
      <c r="AT111" s="247"/>
      <c r="AU111" s="247"/>
      <c r="AV111" s="247"/>
      <c r="AW111" s="247"/>
      <c r="AX111" s="247"/>
      <c r="AY111" s="247"/>
      <c r="BA111" s="508" t="b">
        <v>0</v>
      </c>
    </row>
    <row r="112" spans="1:56" s="12" customFormat="1" ht="22.15" customHeight="1">
      <c r="A112" s="247"/>
      <c r="B112" s="505"/>
      <c r="C112" s="793" t="s">
        <v>173</v>
      </c>
      <c r="D112" s="794"/>
      <c r="E112" s="794"/>
      <c r="F112" s="794"/>
      <c r="G112" s="794"/>
      <c r="H112" s="794"/>
      <c r="I112" s="794"/>
      <c r="J112" s="794"/>
      <c r="K112" s="794"/>
      <c r="L112" s="794"/>
      <c r="M112" s="794"/>
      <c r="N112" s="794"/>
      <c r="O112" s="794"/>
      <c r="P112" s="794"/>
      <c r="Q112" s="794"/>
      <c r="R112" s="794"/>
      <c r="S112" s="794"/>
      <c r="T112" s="794"/>
      <c r="U112" s="794"/>
      <c r="V112" s="794"/>
      <c r="W112" s="794"/>
      <c r="X112" s="794"/>
      <c r="Y112" s="794"/>
      <c r="Z112" s="794"/>
      <c r="AA112" s="794"/>
      <c r="AB112" s="794"/>
      <c r="AC112" s="794"/>
      <c r="AD112" s="795"/>
      <c r="AE112" s="783" t="s">
        <v>174</v>
      </c>
      <c r="AF112" s="784"/>
      <c r="AG112" s="784"/>
      <c r="AH112" s="784"/>
      <c r="AI112" s="784"/>
      <c r="AJ112" s="784"/>
      <c r="AK112" s="784"/>
      <c r="AL112" s="15"/>
      <c r="AM112" s="247"/>
      <c r="AN112" s="247"/>
      <c r="AO112" s="247"/>
      <c r="AP112" s="247"/>
      <c r="AQ112" s="247"/>
      <c r="AR112" s="247"/>
      <c r="AS112" s="247"/>
      <c r="AT112" s="247"/>
      <c r="AU112" s="247"/>
      <c r="AV112" s="247"/>
      <c r="AW112" s="247"/>
      <c r="AX112" s="247"/>
      <c r="AY112" s="247"/>
      <c r="BA112" s="508" t="b">
        <v>0</v>
      </c>
    </row>
    <row r="113" spans="1:53" s="12" customFormat="1" ht="25.5" customHeight="1" thickBot="1">
      <c r="A113" s="247"/>
      <c r="B113" s="506"/>
      <c r="C113" s="780" t="s">
        <v>175</v>
      </c>
      <c r="D113" s="781"/>
      <c r="E113" s="781"/>
      <c r="F113" s="781"/>
      <c r="G113" s="781"/>
      <c r="H113" s="781"/>
      <c r="I113" s="781"/>
      <c r="J113" s="781"/>
      <c r="K113" s="781"/>
      <c r="L113" s="781"/>
      <c r="M113" s="781"/>
      <c r="N113" s="781"/>
      <c r="O113" s="781"/>
      <c r="P113" s="781"/>
      <c r="Q113" s="781"/>
      <c r="R113" s="781"/>
      <c r="S113" s="781"/>
      <c r="T113" s="781"/>
      <c r="U113" s="781"/>
      <c r="V113" s="781"/>
      <c r="W113" s="781"/>
      <c r="X113" s="781"/>
      <c r="Y113" s="781"/>
      <c r="Z113" s="781"/>
      <c r="AA113" s="781"/>
      <c r="AB113" s="781"/>
      <c r="AC113" s="781"/>
      <c r="AD113" s="782"/>
      <c r="AE113" s="785" t="s">
        <v>170</v>
      </c>
      <c r="AF113" s="786"/>
      <c r="AG113" s="786"/>
      <c r="AH113" s="786"/>
      <c r="AI113" s="786"/>
      <c r="AJ113" s="786"/>
      <c r="AK113" s="786"/>
      <c r="AL113" s="15"/>
      <c r="AM113" s="247"/>
      <c r="AN113" s="247"/>
      <c r="AO113" s="247"/>
      <c r="AP113" s="247"/>
      <c r="AQ113" s="247"/>
      <c r="AR113" s="247"/>
      <c r="AS113" s="247"/>
      <c r="AT113" s="247"/>
      <c r="AU113" s="247"/>
      <c r="AV113" s="247"/>
      <c r="AW113" s="247"/>
      <c r="AX113" s="247"/>
      <c r="AY113" s="247"/>
      <c r="BA113" s="508" t="b">
        <v>0</v>
      </c>
    </row>
    <row r="114" spans="1:53" s="12" customFormat="1" ht="4.9000000000000004" customHeight="1">
      <c r="A114" s="247"/>
      <c r="B114" s="352"/>
      <c r="C114" s="351"/>
      <c r="D114" s="352"/>
      <c r="E114" s="352"/>
      <c r="F114" s="352"/>
      <c r="G114" s="352"/>
      <c r="H114" s="352"/>
      <c r="I114" s="352"/>
      <c r="J114" s="352"/>
      <c r="K114" s="352"/>
      <c r="L114" s="352"/>
      <c r="M114" s="352"/>
      <c r="N114" s="352"/>
      <c r="O114" s="352"/>
      <c r="P114" s="352"/>
      <c r="Q114" s="352"/>
      <c r="R114" s="352"/>
      <c r="S114" s="352"/>
      <c r="T114" s="352"/>
      <c r="U114" s="352"/>
      <c r="V114" s="352"/>
      <c r="W114" s="352"/>
      <c r="X114" s="352"/>
      <c r="Y114" s="352"/>
      <c r="Z114" s="351"/>
      <c r="AA114" s="351"/>
      <c r="AB114" s="351"/>
      <c r="AC114" s="351"/>
      <c r="AD114" s="351"/>
      <c r="AE114" s="351"/>
      <c r="AF114" s="351"/>
      <c r="AG114" s="351"/>
      <c r="AH114" s="351"/>
      <c r="AI114" s="352"/>
      <c r="AJ114" s="352"/>
      <c r="AK114" s="15"/>
      <c r="AL114" s="15"/>
      <c r="AM114" s="247"/>
      <c r="AN114" s="247"/>
      <c r="AO114" s="247"/>
      <c r="AP114" s="247"/>
      <c r="AQ114" s="247"/>
      <c r="AR114" s="247"/>
      <c r="AS114" s="247"/>
      <c r="AT114" s="247"/>
      <c r="AU114" s="247"/>
      <c r="AV114" s="247"/>
      <c r="AW114" s="247"/>
      <c r="AX114" s="247"/>
      <c r="AY114" s="247"/>
    </row>
    <row r="115" spans="1:53" s="12" customFormat="1" ht="12" customHeight="1">
      <c r="A115" s="247"/>
      <c r="B115" s="359" t="s">
        <v>176</v>
      </c>
      <c r="C115" s="360" t="s">
        <v>177</v>
      </c>
      <c r="D115" s="360"/>
      <c r="E115" s="360"/>
      <c r="F115" s="360"/>
      <c r="G115" s="360"/>
      <c r="H115" s="360"/>
      <c r="I115" s="360"/>
      <c r="J115" s="360"/>
      <c r="K115" s="360"/>
      <c r="L115" s="360"/>
      <c r="M115" s="360"/>
      <c r="N115" s="360"/>
      <c r="O115" s="360"/>
      <c r="P115" s="360"/>
      <c r="Q115" s="360"/>
      <c r="R115" s="360"/>
      <c r="S115" s="360"/>
      <c r="T115" s="360"/>
      <c r="U115" s="360"/>
      <c r="V115" s="360"/>
      <c r="W115" s="360"/>
      <c r="X115" s="360"/>
      <c r="Y115" s="360"/>
      <c r="Z115" s="360"/>
      <c r="AA115" s="360"/>
      <c r="AB115" s="360"/>
      <c r="AC115" s="360"/>
      <c r="AD115" s="360"/>
      <c r="AE115" s="360"/>
      <c r="AF115" s="360"/>
      <c r="AG115" s="360"/>
      <c r="AH115" s="360"/>
      <c r="AI115" s="360"/>
      <c r="AJ115" s="360"/>
      <c r="AK115" s="260"/>
      <c r="AL115" s="15"/>
      <c r="AM115" s="247"/>
      <c r="AN115" s="247"/>
      <c r="AO115" s="247"/>
      <c r="AP115" s="247"/>
      <c r="AQ115" s="247"/>
      <c r="AR115" s="247"/>
      <c r="AS115" s="247"/>
      <c r="AT115" s="247"/>
      <c r="AU115" s="247"/>
      <c r="AV115" s="247"/>
      <c r="AW115" s="247"/>
      <c r="AX115" s="247"/>
      <c r="AY115" s="247"/>
    </row>
    <row r="116" spans="1:53" s="12" customFormat="1" ht="24.6" customHeight="1">
      <c r="A116" s="247"/>
      <c r="B116" s="359" t="s">
        <v>176</v>
      </c>
      <c r="C116" s="796" t="s">
        <v>178</v>
      </c>
      <c r="D116" s="796"/>
      <c r="E116" s="796"/>
      <c r="F116" s="796"/>
      <c r="G116" s="796"/>
      <c r="H116" s="796"/>
      <c r="I116" s="796"/>
      <c r="J116" s="796"/>
      <c r="K116" s="796"/>
      <c r="L116" s="796"/>
      <c r="M116" s="796"/>
      <c r="N116" s="796"/>
      <c r="O116" s="796"/>
      <c r="P116" s="796"/>
      <c r="Q116" s="796"/>
      <c r="R116" s="796"/>
      <c r="S116" s="796"/>
      <c r="T116" s="796"/>
      <c r="U116" s="796"/>
      <c r="V116" s="796"/>
      <c r="W116" s="796"/>
      <c r="X116" s="796"/>
      <c r="Y116" s="796"/>
      <c r="Z116" s="796"/>
      <c r="AA116" s="796"/>
      <c r="AB116" s="796"/>
      <c r="AC116" s="796"/>
      <c r="AD116" s="796"/>
      <c r="AE116" s="796"/>
      <c r="AF116" s="796"/>
      <c r="AG116" s="796"/>
      <c r="AH116" s="796"/>
      <c r="AI116" s="796"/>
      <c r="AJ116" s="796"/>
      <c r="AK116" s="796"/>
      <c r="AL116" s="15"/>
      <c r="AM116" s="247"/>
      <c r="AN116" s="247"/>
      <c r="AO116" s="247"/>
      <c r="AP116" s="247"/>
      <c r="AQ116" s="247"/>
      <c r="AR116" s="247"/>
      <c r="AS116" s="247"/>
      <c r="AT116" s="247"/>
      <c r="AU116" s="247"/>
      <c r="AV116" s="247"/>
      <c r="AW116" s="247"/>
      <c r="AX116" s="247"/>
      <c r="AY116" s="247"/>
    </row>
    <row r="117" spans="1:53" s="12" customFormat="1" ht="5.45" customHeight="1" thickBot="1">
      <c r="A117" s="247"/>
      <c r="B117" s="359"/>
      <c r="C117" s="361"/>
      <c r="D117" s="361"/>
      <c r="E117" s="361"/>
      <c r="F117" s="361"/>
      <c r="G117" s="361"/>
      <c r="H117" s="361"/>
      <c r="I117" s="361"/>
      <c r="J117" s="361"/>
      <c r="K117" s="361"/>
      <c r="L117" s="361"/>
      <c r="M117" s="361"/>
      <c r="N117" s="361"/>
      <c r="O117" s="361"/>
      <c r="P117" s="361"/>
      <c r="Q117" s="361"/>
      <c r="R117" s="361"/>
      <c r="S117" s="361"/>
      <c r="T117" s="361"/>
      <c r="U117" s="361"/>
      <c r="V117" s="361"/>
      <c r="W117" s="361"/>
      <c r="X117" s="361"/>
      <c r="Y117" s="361"/>
      <c r="Z117" s="361"/>
      <c r="AA117" s="361"/>
      <c r="AB117" s="361"/>
      <c r="AC117" s="361"/>
      <c r="AD117" s="361"/>
      <c r="AE117" s="361"/>
      <c r="AF117" s="361"/>
      <c r="AG117" s="361"/>
      <c r="AH117" s="361"/>
      <c r="AI117" s="361"/>
      <c r="AJ117" s="361"/>
      <c r="AK117" s="361"/>
      <c r="AL117" s="15"/>
      <c r="AM117" s="247"/>
      <c r="AN117" s="247"/>
      <c r="AO117" s="247"/>
      <c r="AP117" s="247"/>
      <c r="AQ117" s="247"/>
      <c r="AR117" s="247"/>
      <c r="AS117" s="247"/>
      <c r="AT117" s="247"/>
      <c r="AU117" s="247"/>
      <c r="AV117" s="247"/>
      <c r="AW117" s="247"/>
      <c r="AX117" s="247"/>
      <c r="AY117" s="247"/>
    </row>
    <row r="118" spans="1:53" s="12" customFormat="1" ht="15.6" customHeight="1" thickBot="1">
      <c r="A118" s="247"/>
      <c r="B118" s="362"/>
      <c r="C118" s="363"/>
      <c r="D118" s="363"/>
      <c r="E118" s="363"/>
      <c r="F118" s="363"/>
      <c r="G118" s="363"/>
      <c r="H118" s="363"/>
      <c r="I118" s="363"/>
      <c r="J118" s="363"/>
      <c r="K118" s="363"/>
      <c r="L118" s="363"/>
      <c r="M118" s="363"/>
      <c r="N118" s="363"/>
      <c r="O118" s="363"/>
      <c r="P118" s="363"/>
      <c r="Q118" s="363"/>
      <c r="R118" s="363"/>
      <c r="S118" s="363"/>
      <c r="T118" s="363"/>
      <c r="U118" s="363"/>
      <c r="V118" s="363"/>
      <c r="W118" s="363"/>
      <c r="X118" s="363"/>
      <c r="Y118" s="363"/>
      <c r="Z118" s="363"/>
      <c r="AA118" s="363"/>
      <c r="AB118" s="363"/>
      <c r="AC118" s="363"/>
      <c r="AD118" s="363"/>
      <c r="AE118" s="363"/>
      <c r="AF118" s="363"/>
      <c r="AG118" s="363"/>
      <c r="AH118" s="363"/>
      <c r="AI118" s="363"/>
      <c r="AJ118" s="363"/>
      <c r="AK118" s="342" t="str">
        <f>IF(H6="", "", IF(COUNTA(E122,H122,K122)=3,"○","×"))</f>
        <v/>
      </c>
      <c r="AL118" s="15"/>
      <c r="AM118" s="247"/>
      <c r="AN118" s="247"/>
      <c r="AO118" s="247"/>
      <c r="AP118" s="247"/>
      <c r="AQ118" s="247"/>
      <c r="AR118" s="247"/>
      <c r="AS118" s="247"/>
      <c r="AT118" s="247"/>
      <c r="AU118" s="247"/>
      <c r="AV118" s="247"/>
      <c r="AW118" s="247"/>
      <c r="AX118" s="247"/>
      <c r="AY118" s="247"/>
    </row>
    <row r="119" spans="1:53" s="12" customFormat="1" ht="4.1500000000000004" customHeight="1">
      <c r="A119" s="247"/>
      <c r="B119" s="364"/>
      <c r="C119" s="365"/>
      <c r="D119" s="365"/>
      <c r="E119" s="365"/>
      <c r="F119" s="365"/>
      <c r="G119" s="365"/>
      <c r="H119" s="365"/>
      <c r="I119" s="365"/>
      <c r="J119" s="365"/>
      <c r="K119" s="365"/>
      <c r="L119" s="365"/>
      <c r="M119" s="365"/>
      <c r="N119" s="365"/>
      <c r="O119" s="365"/>
      <c r="P119" s="365"/>
      <c r="Q119" s="365"/>
      <c r="R119" s="365"/>
      <c r="S119" s="365"/>
      <c r="T119" s="365"/>
      <c r="U119" s="365"/>
      <c r="V119" s="365"/>
      <c r="W119" s="365"/>
      <c r="X119" s="365"/>
      <c r="Y119" s="365"/>
      <c r="Z119" s="365"/>
      <c r="AA119" s="365"/>
      <c r="AB119" s="365"/>
      <c r="AC119" s="365"/>
      <c r="AD119" s="365"/>
      <c r="AE119" s="365"/>
      <c r="AF119" s="365"/>
      <c r="AG119" s="365"/>
      <c r="AH119" s="365"/>
      <c r="AI119" s="365"/>
      <c r="AJ119" s="365"/>
      <c r="AK119" s="366"/>
      <c r="AL119" s="15"/>
      <c r="AM119" s="247"/>
      <c r="AN119" s="247"/>
      <c r="AO119" s="247"/>
      <c r="AP119" s="247"/>
      <c r="AQ119" s="247"/>
      <c r="AR119" s="247"/>
      <c r="AS119" s="247"/>
      <c r="AT119" s="247"/>
      <c r="AU119" s="247"/>
      <c r="AV119" s="247"/>
      <c r="AW119" s="247"/>
      <c r="AX119" s="247"/>
      <c r="AY119" s="247"/>
    </row>
    <row r="120" spans="1:53" s="12" customFormat="1" ht="30" customHeight="1">
      <c r="A120" s="247"/>
      <c r="B120" s="367"/>
      <c r="C120" s="797" t="s">
        <v>179</v>
      </c>
      <c r="D120" s="797"/>
      <c r="E120" s="797"/>
      <c r="F120" s="797"/>
      <c r="G120" s="797"/>
      <c r="H120" s="797"/>
      <c r="I120" s="797"/>
      <c r="J120" s="797"/>
      <c r="K120" s="797"/>
      <c r="L120" s="797"/>
      <c r="M120" s="797"/>
      <c r="N120" s="797"/>
      <c r="O120" s="797"/>
      <c r="P120" s="797"/>
      <c r="Q120" s="797"/>
      <c r="R120" s="797"/>
      <c r="S120" s="797"/>
      <c r="T120" s="797"/>
      <c r="U120" s="797"/>
      <c r="V120" s="797"/>
      <c r="W120" s="797"/>
      <c r="X120" s="797"/>
      <c r="Y120" s="797"/>
      <c r="Z120" s="797"/>
      <c r="AA120" s="797"/>
      <c r="AB120" s="797"/>
      <c r="AC120" s="797"/>
      <c r="AD120" s="797"/>
      <c r="AE120" s="797"/>
      <c r="AF120" s="797"/>
      <c r="AG120" s="797"/>
      <c r="AH120" s="797"/>
      <c r="AI120" s="797"/>
      <c r="AJ120" s="797"/>
      <c r="AK120" s="368"/>
      <c r="AL120" s="352"/>
      <c r="AM120" s="15"/>
      <c r="AN120" s="247"/>
      <c r="AO120" s="247"/>
      <c r="AP120" s="247"/>
      <c r="AQ120" s="247"/>
      <c r="AR120" s="247"/>
      <c r="AS120" s="247"/>
      <c r="AT120" s="247"/>
      <c r="AU120" s="247"/>
      <c r="AV120" s="247"/>
      <c r="AW120" s="247"/>
      <c r="AX120" s="247"/>
      <c r="AY120" s="247"/>
    </row>
    <row r="121" spans="1:53" s="12" customFormat="1" ht="3.6" customHeight="1">
      <c r="A121" s="247"/>
      <c r="B121" s="367"/>
      <c r="C121" s="351"/>
      <c r="D121" s="352"/>
      <c r="E121" s="352"/>
      <c r="F121" s="352"/>
      <c r="G121" s="352"/>
      <c r="H121" s="352"/>
      <c r="I121" s="352"/>
      <c r="J121" s="352"/>
      <c r="K121" s="352"/>
      <c r="L121" s="352"/>
      <c r="M121" s="352"/>
      <c r="N121" s="352"/>
      <c r="O121" s="352"/>
      <c r="P121" s="352"/>
      <c r="Q121" s="352"/>
      <c r="R121" s="352"/>
      <c r="S121" s="352"/>
      <c r="T121" s="352"/>
      <c r="U121" s="352"/>
      <c r="V121" s="352"/>
      <c r="W121" s="352"/>
      <c r="X121" s="352"/>
      <c r="Y121" s="352"/>
      <c r="Z121" s="352"/>
      <c r="AA121" s="352"/>
      <c r="AB121" s="352"/>
      <c r="AC121" s="352"/>
      <c r="AD121" s="352"/>
      <c r="AE121" s="352"/>
      <c r="AF121" s="352"/>
      <c r="AG121" s="352"/>
      <c r="AH121" s="352"/>
      <c r="AI121" s="352"/>
      <c r="AJ121" s="352"/>
      <c r="AK121" s="368"/>
      <c r="AL121" s="15"/>
      <c r="AM121" s="15"/>
      <c r="AN121" s="247"/>
      <c r="AO121" s="247"/>
      <c r="AP121" s="247"/>
      <c r="AQ121" s="247"/>
      <c r="AR121" s="247"/>
      <c r="AS121" s="247"/>
      <c r="AT121" s="247"/>
      <c r="AU121" s="247"/>
      <c r="AV121" s="247"/>
      <c r="AW121" s="247"/>
      <c r="AX121" s="247"/>
      <c r="AY121" s="247"/>
    </row>
    <row r="122" spans="1:53" s="12" customFormat="1" ht="15" customHeight="1">
      <c r="A122" s="247"/>
      <c r="B122" s="369"/>
      <c r="C122" s="370" t="s">
        <v>180</v>
      </c>
      <c r="D122" s="370"/>
      <c r="E122" s="789"/>
      <c r="F122" s="790"/>
      <c r="G122" s="370" t="s">
        <v>181</v>
      </c>
      <c r="H122" s="789"/>
      <c r="I122" s="790"/>
      <c r="J122" s="370" t="s">
        <v>182</v>
      </c>
      <c r="K122" s="789"/>
      <c r="L122" s="790"/>
      <c r="M122" s="370" t="s">
        <v>183</v>
      </c>
      <c r="N122" s="352"/>
      <c r="O122" s="791" t="s">
        <v>53</v>
      </c>
      <c r="P122" s="791"/>
      <c r="Q122" s="791"/>
      <c r="R122" s="792" t="str">
        <f>IF(H6="","",H6)</f>
        <v/>
      </c>
      <c r="S122" s="792"/>
      <c r="T122" s="792"/>
      <c r="U122" s="792"/>
      <c r="V122" s="792"/>
      <c r="W122" s="792"/>
      <c r="X122" s="792"/>
      <c r="Y122" s="792"/>
      <c r="Z122" s="792"/>
      <c r="AA122" s="792"/>
      <c r="AB122" s="792"/>
      <c r="AC122" s="792"/>
      <c r="AD122" s="792"/>
      <c r="AE122" s="792"/>
      <c r="AF122" s="792"/>
      <c r="AG122" s="792"/>
      <c r="AH122" s="792"/>
      <c r="AI122" s="792"/>
      <c r="AJ122" s="371"/>
      <c r="AK122" s="372"/>
      <c r="AL122" s="373"/>
      <c r="AM122" s="15"/>
      <c r="AN122" s="15"/>
      <c r="AO122" s="15"/>
      <c r="AP122" s="15"/>
      <c r="AQ122" s="15"/>
      <c r="AR122" s="15"/>
      <c r="AS122" s="15"/>
      <c r="AT122" s="15"/>
      <c r="AU122" s="15"/>
      <c r="AV122" s="15"/>
      <c r="AW122" s="268"/>
      <c r="AX122" s="15"/>
      <c r="AY122" s="15"/>
      <c r="AZ122"/>
    </row>
    <row r="123" spans="1:53" s="12" customFormat="1" ht="14.45" customHeight="1">
      <c r="A123" s="15"/>
      <c r="B123" s="369"/>
      <c r="C123" s="374"/>
      <c r="D123" s="370"/>
      <c r="E123" s="370"/>
      <c r="F123" s="370"/>
      <c r="G123" s="370"/>
      <c r="H123" s="370"/>
      <c r="I123" s="370"/>
      <c r="J123" s="370"/>
      <c r="K123" s="370"/>
      <c r="L123" s="370"/>
      <c r="M123" s="370"/>
      <c r="N123" s="764" t="s">
        <v>184</v>
      </c>
      <c r="O123" s="764"/>
      <c r="P123" s="764"/>
      <c r="Q123" s="764"/>
      <c r="R123" s="765" t="s">
        <v>20</v>
      </c>
      <c r="S123" s="765"/>
      <c r="T123" s="766" t="str">
        <f>IF(基本情報入力シート!L20="", "", 基本情報入力シート!L20)</f>
        <v/>
      </c>
      <c r="U123" s="766"/>
      <c r="V123" s="766"/>
      <c r="W123" s="766"/>
      <c r="X123" s="766"/>
      <c r="Y123" s="767" t="s">
        <v>21</v>
      </c>
      <c r="Z123" s="767"/>
      <c r="AA123" s="766" t="str">
        <f>IF(基本情報入力シート!L21="", "", 基本情報入力シート!L21)</f>
        <v/>
      </c>
      <c r="AB123" s="766"/>
      <c r="AC123" s="766"/>
      <c r="AD123" s="766"/>
      <c r="AE123" s="766"/>
      <c r="AF123" s="766"/>
      <c r="AG123" s="766"/>
      <c r="AH123" s="766"/>
      <c r="AI123" s="766"/>
      <c r="AJ123" s="374"/>
      <c r="AK123" s="375"/>
      <c r="AL123" s="373"/>
      <c r="AM123" s="373"/>
      <c r="AN123" s="15"/>
      <c r="AO123" s="15"/>
      <c r="AP123" s="15"/>
      <c r="AQ123" s="15"/>
      <c r="AR123" s="15"/>
      <c r="AS123" s="15"/>
      <c r="AT123" s="15"/>
      <c r="AU123" s="15"/>
      <c r="AV123" s="15"/>
      <c r="AW123" s="268"/>
      <c r="AX123" s="15"/>
      <c r="AY123" s="15"/>
      <c r="AZ123"/>
      <c r="BA123"/>
    </row>
    <row r="124" spans="1:53" ht="5.45" customHeight="1" thickBot="1">
      <c r="A124" s="15"/>
      <c r="B124" s="376"/>
      <c r="C124" s="377"/>
      <c r="D124" s="378"/>
      <c r="E124" s="378"/>
      <c r="F124" s="378"/>
      <c r="G124" s="378"/>
      <c r="H124" s="378"/>
      <c r="I124" s="378"/>
      <c r="J124" s="378"/>
      <c r="K124" s="378"/>
      <c r="L124" s="378"/>
      <c r="M124" s="378"/>
      <c r="N124" s="378"/>
      <c r="O124" s="378"/>
      <c r="P124" s="378"/>
      <c r="Q124" s="377"/>
      <c r="R124" s="378"/>
      <c r="S124" s="379"/>
      <c r="T124" s="379"/>
      <c r="U124" s="379"/>
      <c r="V124" s="379"/>
      <c r="W124" s="379"/>
      <c r="X124" s="380"/>
      <c r="Y124" s="380"/>
      <c r="Z124" s="380"/>
      <c r="AA124" s="380"/>
      <c r="AB124" s="380"/>
      <c r="AC124" s="380"/>
      <c r="AD124" s="380"/>
      <c r="AE124" s="380"/>
      <c r="AF124" s="380"/>
      <c r="AG124" s="380"/>
      <c r="AH124" s="380"/>
      <c r="AI124" s="380"/>
      <c r="AJ124" s="381"/>
      <c r="AK124" s="382"/>
      <c r="AL124" s="373"/>
      <c r="AM124" s="373"/>
      <c r="AN124" s="15"/>
      <c r="AO124" s="15"/>
      <c r="AP124" s="15"/>
      <c r="AQ124" s="15"/>
      <c r="AR124" s="15"/>
      <c r="AS124" s="15"/>
      <c r="AT124" s="15"/>
      <c r="AU124" s="15"/>
      <c r="AV124" s="15"/>
      <c r="AW124" s="268"/>
      <c r="AX124" s="15"/>
      <c r="AY124" s="15"/>
    </row>
    <row r="125" spans="1:53" ht="1.9" customHeight="1">
      <c r="A125" s="15"/>
      <c r="B125" s="383"/>
      <c r="C125" s="373"/>
      <c r="D125" s="383"/>
      <c r="E125" s="383"/>
      <c r="F125" s="383"/>
      <c r="G125" s="383"/>
      <c r="H125" s="383"/>
      <c r="I125" s="383"/>
      <c r="J125" s="383"/>
      <c r="K125" s="383"/>
      <c r="L125" s="383"/>
      <c r="M125" s="383"/>
      <c r="N125" s="383"/>
      <c r="O125" s="383"/>
      <c r="P125" s="383"/>
      <c r="Q125" s="373"/>
      <c r="R125" s="383"/>
      <c r="S125" s="384"/>
      <c r="T125" s="384"/>
      <c r="U125" s="384"/>
      <c r="V125" s="384"/>
      <c r="W125" s="384"/>
      <c r="X125" s="385"/>
      <c r="Y125" s="385"/>
      <c r="Z125" s="385"/>
      <c r="AA125" s="385"/>
      <c r="AB125" s="385"/>
      <c r="AC125" s="385"/>
      <c r="AD125" s="385"/>
      <c r="AE125" s="385"/>
      <c r="AF125" s="385"/>
      <c r="AG125" s="385"/>
      <c r="AH125" s="385"/>
      <c r="AI125" s="385"/>
      <c r="AJ125" s="386"/>
      <c r="AK125" s="373"/>
      <c r="AL125" s="373"/>
      <c r="AM125" s="373"/>
      <c r="AN125" s="15"/>
      <c r="AO125" s="15"/>
      <c r="AP125" s="15"/>
      <c r="AQ125" s="15"/>
      <c r="AR125" s="15"/>
      <c r="AS125" s="15"/>
      <c r="AT125" s="15"/>
      <c r="AU125" s="15"/>
      <c r="AV125" s="15"/>
      <c r="AW125" s="268"/>
      <c r="AX125" s="15"/>
      <c r="AY125" s="15"/>
    </row>
    <row r="126" spans="1:53" ht="15.6" customHeight="1">
      <c r="A126" s="247"/>
      <c r="B126" s="387" t="s">
        <v>185</v>
      </c>
      <c r="C126" s="383"/>
      <c r="D126" s="247"/>
      <c r="E126" s="247"/>
      <c r="F126" s="245" t="s">
        <v>186</v>
      </c>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373"/>
      <c r="AN126" s="247"/>
      <c r="AO126" s="247"/>
      <c r="AP126" s="247"/>
      <c r="AQ126" s="247"/>
      <c r="AR126" s="247"/>
      <c r="AS126" s="247"/>
      <c r="AT126" s="247"/>
      <c r="AU126" s="247"/>
      <c r="AV126" s="247"/>
      <c r="AW126" s="247"/>
      <c r="AX126" s="247"/>
      <c r="AY126" s="247"/>
      <c r="AZ126" s="12"/>
    </row>
    <row r="127" spans="1:53" s="12" customFormat="1" ht="15" customHeight="1">
      <c r="A127" s="15"/>
      <c r="B127" s="267" t="s">
        <v>66</v>
      </c>
      <c r="C127" s="260" t="s">
        <v>187</v>
      </c>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row>
    <row r="128" spans="1:53" ht="12.75" customHeight="1">
      <c r="A128" s="262"/>
      <c r="B128" s="267" t="s">
        <v>176</v>
      </c>
      <c r="C128" s="260" t="s">
        <v>188</v>
      </c>
      <c r="D128" s="262"/>
      <c r="E128" s="262"/>
      <c r="F128" s="262"/>
      <c r="G128" s="262"/>
      <c r="H128" s="262"/>
      <c r="I128" s="262"/>
      <c r="J128" s="262"/>
      <c r="K128" s="262"/>
      <c r="L128" s="262"/>
      <c r="M128" s="262"/>
      <c r="N128" s="262"/>
      <c r="O128" s="262"/>
      <c r="P128" s="262"/>
      <c r="Q128" s="262"/>
      <c r="R128" s="262"/>
      <c r="S128" s="262"/>
      <c r="T128" s="262"/>
      <c r="U128" s="262"/>
      <c r="V128" s="262"/>
      <c r="W128" s="262"/>
      <c r="X128" s="262"/>
      <c r="Y128" s="262"/>
      <c r="Z128" s="262"/>
      <c r="AA128" s="262"/>
      <c r="AB128" s="262"/>
      <c r="AC128" s="262"/>
      <c r="AD128" s="262"/>
      <c r="AE128" s="262"/>
      <c r="AF128" s="262"/>
      <c r="AG128" s="262"/>
      <c r="AH128" s="262"/>
      <c r="AI128" s="262"/>
      <c r="AJ128" s="262"/>
      <c r="AK128" s="262"/>
      <c r="AL128" s="262"/>
      <c r="AM128" s="15"/>
      <c r="AN128" s="262"/>
      <c r="AO128" s="262"/>
      <c r="AP128" s="262"/>
      <c r="AQ128" s="262"/>
      <c r="AR128" s="262"/>
      <c r="AS128" s="262"/>
      <c r="AT128" s="262"/>
      <c r="AU128" s="262"/>
      <c r="AV128" s="262"/>
      <c r="AW128" s="262"/>
      <c r="AX128" s="262"/>
      <c r="AY128" s="262"/>
      <c r="AZ128" s="98"/>
    </row>
    <row r="129" spans="1:38" s="98" customFormat="1" ht="4.1500000000000004" customHeight="1">
      <c r="A129" s="15"/>
      <c r="B129" s="245"/>
      <c r="C129" s="383"/>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row>
    <row r="130" spans="1:38" ht="10.9" customHeight="1">
      <c r="A130" s="15"/>
      <c r="B130" s="746" t="s">
        <v>189</v>
      </c>
      <c r="C130" s="747"/>
      <c r="D130" s="747"/>
      <c r="E130" s="747"/>
      <c r="F130" s="747"/>
      <c r="G130" s="747"/>
      <c r="H130" s="747"/>
      <c r="I130" s="747"/>
      <c r="J130" s="747"/>
      <c r="K130" s="747"/>
      <c r="L130" s="747"/>
      <c r="M130" s="747"/>
      <c r="N130" s="747"/>
      <c r="O130" s="747"/>
      <c r="P130" s="747"/>
      <c r="Q130" s="747"/>
      <c r="R130" s="747"/>
      <c r="S130" s="747"/>
      <c r="T130" s="747"/>
      <c r="U130" s="747"/>
      <c r="V130" s="747"/>
      <c r="W130" s="747"/>
      <c r="X130" s="747"/>
      <c r="Y130" s="747"/>
      <c r="Z130" s="747"/>
      <c r="AA130" s="747"/>
      <c r="AB130" s="747"/>
      <c r="AC130" s="747"/>
      <c r="AD130" s="747"/>
      <c r="AE130" s="747"/>
      <c r="AF130" s="747"/>
      <c r="AG130" s="747"/>
      <c r="AH130" s="747"/>
      <c r="AI130" s="747"/>
      <c r="AJ130" s="747"/>
      <c r="AK130" s="748"/>
      <c r="AL130" s="15"/>
    </row>
    <row r="131" spans="1:38">
      <c r="A131" s="15"/>
      <c r="B131" s="755" t="s">
        <v>190</v>
      </c>
      <c r="C131" s="756"/>
      <c r="D131" s="756"/>
      <c r="E131" s="756"/>
      <c r="F131" s="756"/>
      <c r="G131" s="756"/>
      <c r="H131" s="756"/>
      <c r="I131" s="756"/>
      <c r="J131" s="756"/>
      <c r="K131" s="756"/>
      <c r="L131" s="756"/>
      <c r="M131" s="756"/>
      <c r="N131" s="756"/>
      <c r="O131" s="756"/>
      <c r="P131" s="756"/>
      <c r="Q131" s="756"/>
      <c r="R131" s="756"/>
      <c r="S131" s="756"/>
      <c r="T131" s="756"/>
      <c r="U131" s="756"/>
      <c r="V131" s="756"/>
      <c r="W131" s="756"/>
      <c r="X131" s="756"/>
      <c r="Y131" s="756"/>
      <c r="Z131" s="756"/>
      <c r="AA131" s="756"/>
      <c r="AB131" s="756"/>
      <c r="AC131" s="756"/>
      <c r="AD131" s="756"/>
      <c r="AE131" s="756"/>
      <c r="AF131" s="756"/>
      <c r="AG131" s="756"/>
      <c r="AH131" s="756"/>
      <c r="AI131" s="756"/>
      <c r="AJ131" s="757"/>
      <c r="AK131" s="388" t="str">
        <f>Y17</f>
        <v/>
      </c>
      <c r="AL131" s="15"/>
    </row>
    <row r="132" spans="1:38">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row>
    <row r="133" spans="1:38" ht="13.15" customHeight="1">
      <c r="A133" s="334"/>
      <c r="B133" s="746" t="s">
        <v>191</v>
      </c>
      <c r="C133" s="747"/>
      <c r="D133" s="747"/>
      <c r="E133" s="747"/>
      <c r="F133" s="747"/>
      <c r="G133" s="747"/>
      <c r="H133" s="747"/>
      <c r="I133" s="747"/>
      <c r="J133" s="747"/>
      <c r="K133" s="747"/>
      <c r="L133" s="747"/>
      <c r="M133" s="747"/>
      <c r="N133" s="747"/>
      <c r="O133" s="747"/>
      <c r="P133" s="747"/>
      <c r="Q133" s="747"/>
      <c r="R133" s="747"/>
      <c r="S133" s="747"/>
      <c r="T133" s="747"/>
      <c r="U133" s="747"/>
      <c r="V133" s="747"/>
      <c r="W133" s="747"/>
      <c r="X133" s="747"/>
      <c r="Y133" s="747"/>
      <c r="Z133" s="747"/>
      <c r="AA133" s="747"/>
      <c r="AB133" s="747"/>
      <c r="AC133" s="747"/>
      <c r="AD133" s="747"/>
      <c r="AE133" s="747"/>
      <c r="AF133" s="747"/>
      <c r="AG133" s="747"/>
      <c r="AH133" s="747"/>
      <c r="AI133" s="747"/>
      <c r="AJ133" s="747"/>
      <c r="AK133" s="748"/>
      <c r="AL133" s="15"/>
    </row>
    <row r="134" spans="1:38" s="96" customFormat="1" ht="15" customHeight="1">
      <c r="A134" s="334"/>
      <c r="B134" s="389" t="s">
        <v>192</v>
      </c>
      <c r="C134" s="740" t="s">
        <v>193</v>
      </c>
      <c r="D134" s="741"/>
      <c r="E134" s="741"/>
      <c r="F134" s="741"/>
      <c r="G134" s="741"/>
      <c r="H134" s="741"/>
      <c r="I134" s="742"/>
      <c r="J134" s="773" t="s">
        <v>194</v>
      </c>
      <c r="K134" s="773"/>
      <c r="L134" s="773"/>
      <c r="M134" s="773"/>
      <c r="N134" s="773"/>
      <c r="O134" s="773"/>
      <c r="P134" s="773"/>
      <c r="Q134" s="773"/>
      <c r="R134" s="773"/>
      <c r="S134" s="773"/>
      <c r="T134" s="773"/>
      <c r="U134" s="773"/>
      <c r="V134" s="773"/>
      <c r="W134" s="773"/>
      <c r="X134" s="773"/>
      <c r="Y134" s="773"/>
      <c r="Z134" s="773"/>
      <c r="AA134" s="773"/>
      <c r="AB134" s="773"/>
      <c r="AC134" s="773"/>
      <c r="AD134" s="773"/>
      <c r="AE134" s="773"/>
      <c r="AF134" s="773"/>
      <c r="AG134" s="773"/>
      <c r="AH134" s="773"/>
      <c r="AI134" s="773"/>
      <c r="AJ134" s="774"/>
      <c r="AK134" s="388" t="str">
        <f>IF(H6="", "",IF(AND(AK24="○", AB25="○"), "○", "×"))</f>
        <v/>
      </c>
      <c r="AL134" s="15"/>
    </row>
    <row r="135" spans="1:38" s="96" customFormat="1" ht="25.9" customHeight="1">
      <c r="A135" s="334"/>
      <c r="B135" s="389" t="s">
        <v>195</v>
      </c>
      <c r="C135" s="743" t="s">
        <v>196</v>
      </c>
      <c r="D135" s="744"/>
      <c r="E135" s="744"/>
      <c r="F135" s="744"/>
      <c r="G135" s="744"/>
      <c r="H135" s="744"/>
      <c r="I135" s="745"/>
      <c r="J135" s="771" t="s">
        <v>197</v>
      </c>
      <c r="K135" s="771"/>
      <c r="L135" s="771"/>
      <c r="M135" s="771"/>
      <c r="N135" s="771"/>
      <c r="O135" s="771"/>
      <c r="P135" s="771"/>
      <c r="Q135" s="771"/>
      <c r="R135" s="771"/>
      <c r="S135" s="771"/>
      <c r="T135" s="771"/>
      <c r="U135" s="771"/>
      <c r="V135" s="771"/>
      <c r="W135" s="771"/>
      <c r="X135" s="771"/>
      <c r="Y135" s="771"/>
      <c r="Z135" s="771"/>
      <c r="AA135" s="771"/>
      <c r="AB135" s="771"/>
      <c r="AC135" s="771"/>
      <c r="AD135" s="771"/>
      <c r="AE135" s="771"/>
      <c r="AF135" s="771"/>
      <c r="AG135" s="771"/>
      <c r="AH135" s="771"/>
      <c r="AI135" s="771"/>
      <c r="AJ135" s="772"/>
      <c r="AK135" s="388" t="str">
        <f>IF(H6="","",IF(OR(AK32="○",AND(AK32="×",AK33="✓")),"○","×"))</f>
        <v/>
      </c>
      <c r="AL135" s="390"/>
    </row>
    <row r="136" spans="1:38" s="96" customFormat="1" ht="24" customHeight="1">
      <c r="A136" s="247"/>
      <c r="B136" s="391" t="s">
        <v>198</v>
      </c>
      <c r="C136" s="743" t="s">
        <v>199</v>
      </c>
      <c r="D136" s="744"/>
      <c r="E136" s="744"/>
      <c r="F136" s="744"/>
      <c r="G136" s="744"/>
      <c r="H136" s="744"/>
      <c r="I136" s="745"/>
      <c r="J136" s="771" t="s">
        <v>200</v>
      </c>
      <c r="K136" s="771"/>
      <c r="L136" s="771"/>
      <c r="M136" s="771"/>
      <c r="N136" s="771"/>
      <c r="O136" s="771"/>
      <c r="P136" s="771"/>
      <c r="Q136" s="771"/>
      <c r="R136" s="771"/>
      <c r="S136" s="771"/>
      <c r="T136" s="771"/>
      <c r="U136" s="771"/>
      <c r="V136" s="771"/>
      <c r="W136" s="771"/>
      <c r="X136" s="771"/>
      <c r="Y136" s="771"/>
      <c r="Z136" s="771"/>
      <c r="AA136" s="771"/>
      <c r="AB136" s="771"/>
      <c r="AC136" s="771"/>
      <c r="AD136" s="771"/>
      <c r="AE136" s="771"/>
      <c r="AF136" s="771"/>
      <c r="AG136" s="771"/>
      <c r="AH136" s="771"/>
      <c r="AI136" s="771"/>
      <c r="AJ136" s="772"/>
      <c r="AK136" s="388" t="str">
        <f>IF(H6="","",IF(AND(BA36=0,BE36=0),"",IF(OR(AK36="○",AND(AK36="×",AK37="✓")),"○","×")))</f>
        <v/>
      </c>
      <c r="AL136" s="15"/>
    </row>
    <row r="137" spans="1:38" s="12" customFormat="1" ht="26.25" customHeight="1">
      <c r="A137" s="247"/>
      <c r="B137" s="391" t="s">
        <v>201</v>
      </c>
      <c r="C137" s="743" t="s">
        <v>202</v>
      </c>
      <c r="D137" s="744"/>
      <c r="E137" s="744"/>
      <c r="F137" s="744"/>
      <c r="G137" s="744"/>
      <c r="H137" s="744"/>
      <c r="I137" s="745"/>
      <c r="J137" s="771" t="s">
        <v>203</v>
      </c>
      <c r="K137" s="771"/>
      <c r="L137" s="771"/>
      <c r="M137" s="771"/>
      <c r="N137" s="771"/>
      <c r="O137" s="771"/>
      <c r="P137" s="771"/>
      <c r="Q137" s="771"/>
      <c r="R137" s="771"/>
      <c r="S137" s="771"/>
      <c r="T137" s="771"/>
      <c r="U137" s="771"/>
      <c r="V137" s="771"/>
      <c r="W137" s="771"/>
      <c r="X137" s="771"/>
      <c r="Y137" s="771"/>
      <c r="Z137" s="771"/>
      <c r="AA137" s="771"/>
      <c r="AB137" s="771"/>
      <c r="AC137" s="771"/>
      <c r="AD137" s="771"/>
      <c r="AE137" s="771"/>
      <c r="AF137" s="771"/>
      <c r="AG137" s="771"/>
      <c r="AH137" s="771"/>
      <c r="AI137" s="771"/>
      <c r="AJ137" s="772"/>
      <c r="AK137" s="388" t="str">
        <f>IF(H6="","",IF(AND(BA40=0,BE40=0),"",IF(OR(AK40="○",AK43="○"),"○","×")))</f>
        <v/>
      </c>
      <c r="AL137" s="15"/>
    </row>
    <row r="138" spans="1:38" s="12" customFormat="1" ht="18" customHeight="1">
      <c r="A138" s="247"/>
      <c r="B138" s="391" t="s">
        <v>204</v>
      </c>
      <c r="C138" s="743" t="s">
        <v>205</v>
      </c>
      <c r="D138" s="744"/>
      <c r="E138" s="744"/>
      <c r="F138" s="744"/>
      <c r="G138" s="744"/>
      <c r="H138" s="744"/>
      <c r="I138" s="745"/>
      <c r="J138" s="773" t="s">
        <v>206</v>
      </c>
      <c r="K138" s="773"/>
      <c r="L138" s="773"/>
      <c r="M138" s="773"/>
      <c r="N138" s="773"/>
      <c r="O138" s="773"/>
      <c r="P138" s="773"/>
      <c r="Q138" s="773"/>
      <c r="R138" s="773"/>
      <c r="S138" s="773"/>
      <c r="T138" s="773"/>
      <c r="U138" s="773"/>
      <c r="V138" s="773"/>
      <c r="W138" s="773"/>
      <c r="X138" s="773"/>
      <c r="Y138" s="773"/>
      <c r="Z138" s="773"/>
      <c r="AA138" s="773"/>
      <c r="AB138" s="773"/>
      <c r="AC138" s="773"/>
      <c r="AD138" s="773"/>
      <c r="AE138" s="773"/>
      <c r="AF138" s="773"/>
      <c r="AG138" s="773"/>
      <c r="AH138" s="773"/>
      <c r="AI138" s="773"/>
      <c r="AJ138" s="774"/>
      <c r="AK138" s="388" t="str">
        <f>IF(H6="","",AK51)</f>
        <v/>
      </c>
      <c r="AL138" s="390"/>
    </row>
    <row r="139" spans="1:38" s="12" customFormat="1" ht="22.15" customHeight="1">
      <c r="A139" s="247"/>
      <c r="B139" s="770" t="s">
        <v>207</v>
      </c>
      <c r="C139" s="749" t="s">
        <v>208</v>
      </c>
      <c r="D139" s="750"/>
      <c r="E139" s="750"/>
      <c r="F139" s="750"/>
      <c r="G139" s="750"/>
      <c r="H139" s="750"/>
      <c r="I139" s="751"/>
      <c r="J139" s="771" t="s">
        <v>209</v>
      </c>
      <c r="K139" s="771"/>
      <c r="L139" s="771"/>
      <c r="M139" s="771"/>
      <c r="N139" s="771"/>
      <c r="O139" s="771"/>
      <c r="P139" s="771"/>
      <c r="Q139" s="771"/>
      <c r="R139" s="771"/>
      <c r="S139" s="771"/>
      <c r="T139" s="771"/>
      <c r="U139" s="771"/>
      <c r="V139" s="771"/>
      <c r="W139" s="771"/>
      <c r="X139" s="771"/>
      <c r="Y139" s="771"/>
      <c r="Z139" s="771"/>
      <c r="AA139" s="771"/>
      <c r="AB139" s="771"/>
      <c r="AC139" s="771"/>
      <c r="AD139" s="771"/>
      <c r="AE139" s="771"/>
      <c r="AF139" s="771"/>
      <c r="AG139" s="771"/>
      <c r="AH139" s="771"/>
      <c r="AI139" s="771"/>
      <c r="AJ139" s="772"/>
      <c r="AK139" s="388" t="str">
        <f>IF(H6="", "",IF(OR(AK54="○", AK56="○"), "○", "×"))</f>
        <v/>
      </c>
      <c r="AL139" s="15"/>
    </row>
    <row r="140" spans="1:38" s="12" customFormat="1">
      <c r="A140" s="247"/>
      <c r="B140" s="770"/>
      <c r="C140" s="752"/>
      <c r="D140" s="753"/>
      <c r="E140" s="753"/>
      <c r="F140" s="753"/>
      <c r="G140" s="753"/>
      <c r="H140" s="753"/>
      <c r="I140" s="754"/>
      <c r="J140" s="773" t="s">
        <v>210</v>
      </c>
      <c r="K140" s="773"/>
      <c r="L140" s="773"/>
      <c r="M140" s="773"/>
      <c r="N140" s="773"/>
      <c r="O140" s="773"/>
      <c r="P140" s="773"/>
      <c r="Q140" s="773"/>
      <c r="R140" s="773"/>
      <c r="S140" s="773"/>
      <c r="T140" s="773"/>
      <c r="U140" s="773"/>
      <c r="V140" s="773"/>
      <c r="W140" s="773"/>
      <c r="X140" s="773"/>
      <c r="Y140" s="773"/>
      <c r="Z140" s="773"/>
      <c r="AA140" s="773"/>
      <c r="AB140" s="773"/>
      <c r="AC140" s="773"/>
      <c r="AD140" s="773"/>
      <c r="AE140" s="773"/>
      <c r="AF140" s="773"/>
      <c r="AG140" s="773"/>
      <c r="AH140" s="773"/>
      <c r="AI140" s="773"/>
      <c r="AJ140" s="774"/>
      <c r="AK140" s="388" t="str">
        <f>IF(H6="", "", AK96)</f>
        <v/>
      </c>
      <c r="AL140" s="15"/>
    </row>
    <row r="141" spans="1:38" ht="15" customHeight="1">
      <c r="A141" s="15"/>
      <c r="B141" s="392" t="s">
        <v>211</v>
      </c>
      <c r="C141" s="761" t="s">
        <v>212</v>
      </c>
      <c r="D141" s="761"/>
      <c r="E141" s="761"/>
      <c r="F141" s="761"/>
      <c r="G141" s="761"/>
      <c r="H141" s="761"/>
      <c r="I141" s="761"/>
      <c r="J141" s="762" t="s">
        <v>213</v>
      </c>
      <c r="K141" s="762"/>
      <c r="L141" s="762"/>
      <c r="M141" s="762"/>
      <c r="N141" s="762"/>
      <c r="O141" s="762"/>
      <c r="P141" s="762"/>
      <c r="Q141" s="762"/>
      <c r="R141" s="762"/>
      <c r="S141" s="762"/>
      <c r="T141" s="762"/>
      <c r="U141" s="762"/>
      <c r="V141" s="762"/>
      <c r="W141" s="762"/>
      <c r="X141" s="762"/>
      <c r="Y141" s="762"/>
      <c r="Z141" s="762"/>
      <c r="AA141" s="762"/>
      <c r="AB141" s="762"/>
      <c r="AC141" s="762"/>
      <c r="AD141" s="762"/>
      <c r="AE141" s="762"/>
      <c r="AF141" s="762"/>
      <c r="AG141" s="762"/>
      <c r="AH141" s="762"/>
      <c r="AI141" s="762"/>
      <c r="AJ141" s="763"/>
      <c r="AK141" s="393" t="str">
        <f>IF(H6="", "", AK102)</f>
        <v/>
      </c>
      <c r="AL141" s="15"/>
    </row>
    <row r="142" spans="1:38" s="12" customFormat="1">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row>
    <row r="143" spans="1:38" ht="16.899999999999999" customHeight="1">
      <c r="A143" s="15"/>
      <c r="B143" s="746" t="s">
        <v>214</v>
      </c>
      <c r="C143" s="747"/>
      <c r="D143" s="747"/>
      <c r="E143" s="747"/>
      <c r="F143" s="747"/>
      <c r="G143" s="747"/>
      <c r="H143" s="747"/>
      <c r="I143" s="747"/>
      <c r="J143" s="747"/>
      <c r="K143" s="747"/>
      <c r="L143" s="747"/>
      <c r="M143" s="747"/>
      <c r="N143" s="747"/>
      <c r="O143" s="747"/>
      <c r="P143" s="747"/>
      <c r="Q143" s="747"/>
      <c r="R143" s="747"/>
      <c r="S143" s="747"/>
      <c r="T143" s="747"/>
      <c r="U143" s="747"/>
      <c r="V143" s="747"/>
      <c r="W143" s="747"/>
      <c r="X143" s="747"/>
      <c r="Y143" s="747"/>
      <c r="Z143" s="747"/>
      <c r="AA143" s="747"/>
      <c r="AB143" s="747"/>
      <c r="AC143" s="747"/>
      <c r="AD143" s="747"/>
      <c r="AE143" s="747"/>
      <c r="AF143" s="747"/>
      <c r="AG143" s="747"/>
      <c r="AH143" s="747"/>
      <c r="AI143" s="747"/>
      <c r="AJ143" s="747"/>
      <c r="AK143" s="748"/>
      <c r="AL143" s="15"/>
    </row>
    <row r="144" spans="1:38" ht="13.15" customHeight="1">
      <c r="A144" s="15"/>
      <c r="B144" s="394" t="s">
        <v>66</v>
      </c>
      <c r="C144" s="758" t="s">
        <v>215</v>
      </c>
      <c r="D144" s="759"/>
      <c r="E144" s="759"/>
      <c r="F144" s="759"/>
      <c r="G144" s="759"/>
      <c r="H144" s="759"/>
      <c r="I144" s="759"/>
      <c r="J144" s="759"/>
      <c r="K144" s="759"/>
      <c r="L144" s="759"/>
      <c r="M144" s="759"/>
      <c r="N144" s="759"/>
      <c r="O144" s="759"/>
      <c r="P144" s="759"/>
      <c r="Q144" s="759"/>
      <c r="R144" s="759"/>
      <c r="S144" s="759"/>
      <c r="T144" s="759"/>
      <c r="U144" s="759"/>
      <c r="V144" s="759"/>
      <c r="W144" s="759"/>
      <c r="X144" s="759"/>
      <c r="Y144" s="759"/>
      <c r="Z144" s="759"/>
      <c r="AA144" s="759"/>
      <c r="AB144" s="759"/>
      <c r="AC144" s="759"/>
      <c r="AD144" s="759"/>
      <c r="AE144" s="759"/>
      <c r="AF144" s="759"/>
      <c r="AG144" s="759"/>
      <c r="AH144" s="759"/>
      <c r="AI144" s="759"/>
      <c r="AJ144" s="760"/>
      <c r="AK144" s="388" t="str">
        <f>IF(H6="", "",AK106)</f>
        <v/>
      </c>
      <c r="AL144" s="15"/>
    </row>
    <row r="145" spans="1:38" ht="13.15" customHeight="1">
      <c r="A145" s="15"/>
      <c r="B145" s="395" t="s">
        <v>66</v>
      </c>
      <c r="C145" s="737" t="s">
        <v>216</v>
      </c>
      <c r="D145" s="738"/>
      <c r="E145" s="738"/>
      <c r="F145" s="738"/>
      <c r="G145" s="738"/>
      <c r="H145" s="738"/>
      <c r="I145" s="738"/>
      <c r="J145" s="738"/>
      <c r="K145" s="738"/>
      <c r="L145" s="738"/>
      <c r="M145" s="738"/>
      <c r="N145" s="738"/>
      <c r="O145" s="738"/>
      <c r="P145" s="738"/>
      <c r="Q145" s="738"/>
      <c r="R145" s="738"/>
      <c r="S145" s="738"/>
      <c r="T145" s="738"/>
      <c r="U145" s="738"/>
      <c r="V145" s="738"/>
      <c r="W145" s="738"/>
      <c r="X145" s="738"/>
      <c r="Y145" s="738"/>
      <c r="Z145" s="738"/>
      <c r="AA145" s="738"/>
      <c r="AB145" s="738"/>
      <c r="AC145" s="738"/>
      <c r="AD145" s="738"/>
      <c r="AE145" s="738"/>
      <c r="AF145" s="738"/>
      <c r="AG145" s="738"/>
      <c r="AH145" s="738"/>
      <c r="AI145" s="738"/>
      <c r="AJ145" s="739"/>
      <c r="AK145" s="388" t="str">
        <f>IF(H6="", "",AK118)</f>
        <v/>
      </c>
      <c r="AL145" s="15"/>
    </row>
    <row r="146" spans="1:38" ht="4.5" customHeight="1">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row>
    <row r="147" spans="1:38" ht="22.9" customHeight="1"/>
    <row r="148" spans="1:38" ht="13.15" customHeight="1"/>
    <row r="154" spans="1:38" ht="13.15" customHeight="1"/>
    <row r="156" spans="1:38" ht="27.6" customHeight="1"/>
    <row r="157" spans="1:38" ht="27" customHeight="1"/>
    <row r="158" spans="1:38" ht="19.899999999999999" customHeight="1"/>
    <row r="159" spans="1:38" ht="18" customHeight="1"/>
    <row r="160" spans="1:38" s="13" customFormat="1" ht="12.75"/>
    <row r="161" s="13" customFormat="1" ht="12.75"/>
    <row r="162" s="13" customFormat="1" ht="24" customHeight="1"/>
    <row r="163" ht="26.45" customHeight="1"/>
    <row r="164" ht="34.15" customHeight="1"/>
    <row r="165" ht="33.6" customHeight="1"/>
    <row r="166" ht="15.6" customHeight="1"/>
  </sheetData>
  <sheetProtection algorithmName="SHA-512" hashValue="5RoChnI0pvIPWQrwEXp6e+0385W/EFatiDUAoEctlpcQxP3o2mB/Y8S+ZbgK7XZRARDS6qbf2dPVmU1aZFDTXw==" saltValue="4J3Nv8qg6k4wWA7cNWp4mA==" spinCount="100000" sheet="1" formatCells="0" formatColumns="0" formatRows="0" sort="0" autoFilter="0"/>
  <mergeCells count="214">
    <mergeCell ref="BE31:BH31"/>
    <mergeCell ref="BE32:BH32"/>
    <mergeCell ref="BE36:BH36"/>
    <mergeCell ref="BE39:BH39"/>
    <mergeCell ref="BE35:BH35"/>
    <mergeCell ref="BE40:BH40"/>
    <mergeCell ref="BE50:BH50"/>
    <mergeCell ref="BE51:BH51"/>
    <mergeCell ref="B37:AJ37"/>
    <mergeCell ref="B41:AJ41"/>
    <mergeCell ref="G48:AJ48"/>
    <mergeCell ref="AM48:AY48"/>
    <mergeCell ref="B50:AK50"/>
    <mergeCell ref="BA50:BD50"/>
    <mergeCell ref="B51:AJ51"/>
    <mergeCell ref="BA51:BD51"/>
    <mergeCell ref="B39:AK39"/>
    <mergeCell ref="BA39:BD39"/>
    <mergeCell ref="B40:AJ40"/>
    <mergeCell ref="BA40:BD40"/>
    <mergeCell ref="AM44:AY44"/>
    <mergeCell ref="D47:AI47"/>
    <mergeCell ref="C20:AK20"/>
    <mergeCell ref="B15:W15"/>
    <mergeCell ref="C16:P16"/>
    <mergeCell ref="Q16:V16"/>
    <mergeCell ref="B10:G10"/>
    <mergeCell ref="H10:AK10"/>
    <mergeCell ref="B11:G11"/>
    <mergeCell ref="H11:AK11"/>
    <mergeCell ref="B12:G12"/>
    <mergeCell ref="H12:K12"/>
    <mergeCell ref="L12:U12"/>
    <mergeCell ref="V12:Y12"/>
    <mergeCell ref="H5:AK5"/>
    <mergeCell ref="B6:G6"/>
    <mergeCell ref="H6:AK6"/>
    <mergeCell ref="B7:G9"/>
    <mergeCell ref="I7:L7"/>
    <mergeCell ref="H8:AK8"/>
    <mergeCell ref="H9:AK9"/>
    <mergeCell ref="C17:P17"/>
    <mergeCell ref="Q17:V17"/>
    <mergeCell ref="Z12:AK12"/>
    <mergeCell ref="C26:S26"/>
    <mergeCell ref="T26:Y26"/>
    <mergeCell ref="AC1:AE1"/>
    <mergeCell ref="AF1:AK1"/>
    <mergeCell ref="BA35:BD35"/>
    <mergeCell ref="AM25:AY26"/>
    <mergeCell ref="B36:AJ36"/>
    <mergeCell ref="BA36:BD36"/>
    <mergeCell ref="BA31:BD31"/>
    <mergeCell ref="B32:AJ32"/>
    <mergeCell ref="BA32:BD32"/>
    <mergeCell ref="B31:AK31"/>
    <mergeCell ref="C29:AK29"/>
    <mergeCell ref="B22:AK22"/>
    <mergeCell ref="B23:AK23"/>
    <mergeCell ref="B24:Z24"/>
    <mergeCell ref="C25:S25"/>
    <mergeCell ref="T25:Y25"/>
    <mergeCell ref="AB25:AB26"/>
    <mergeCell ref="B34:AK34"/>
    <mergeCell ref="B35:AK35"/>
    <mergeCell ref="B33:AJ33"/>
    <mergeCell ref="B3:AK3"/>
    <mergeCell ref="B5:G5"/>
    <mergeCell ref="B56:AJ56"/>
    <mergeCell ref="AI58:AK58"/>
    <mergeCell ref="C59:AK59"/>
    <mergeCell ref="AI61:AK61"/>
    <mergeCell ref="G65:AK65"/>
    <mergeCell ref="G66:AK66"/>
    <mergeCell ref="G67:AK67"/>
    <mergeCell ref="G68:AK68"/>
    <mergeCell ref="B55:AJ55"/>
    <mergeCell ref="B53:P53"/>
    <mergeCell ref="Q53:AK53"/>
    <mergeCell ref="B69:D72"/>
    <mergeCell ref="E69:F69"/>
    <mergeCell ref="AM69:AX70"/>
    <mergeCell ref="BA69:BA72"/>
    <mergeCell ref="E70:F70"/>
    <mergeCell ref="E71:F71"/>
    <mergeCell ref="E72:F72"/>
    <mergeCell ref="AM65:AX66"/>
    <mergeCell ref="BA65:BA68"/>
    <mergeCell ref="E66:F66"/>
    <mergeCell ref="E67:F67"/>
    <mergeCell ref="E68:F68"/>
    <mergeCell ref="G69:AK69"/>
    <mergeCell ref="G70:AK70"/>
    <mergeCell ref="G71:AK71"/>
    <mergeCell ref="G72:AK72"/>
    <mergeCell ref="C62:AK62"/>
    <mergeCell ref="B64:D64"/>
    <mergeCell ref="E64:AK64"/>
    <mergeCell ref="B65:D68"/>
    <mergeCell ref="E65:F65"/>
    <mergeCell ref="B54:AJ54"/>
    <mergeCell ref="BA73:BA76"/>
    <mergeCell ref="E74:F74"/>
    <mergeCell ref="E75:F75"/>
    <mergeCell ref="G73:AK73"/>
    <mergeCell ref="G74:AK74"/>
    <mergeCell ref="G75:AK75"/>
    <mergeCell ref="G76:AK76"/>
    <mergeCell ref="G77:AK77"/>
    <mergeCell ref="G78:AK78"/>
    <mergeCell ref="BA77:BA80"/>
    <mergeCell ref="G88:AK88"/>
    <mergeCell ref="E76:F76"/>
    <mergeCell ref="B77:D80"/>
    <mergeCell ref="E77:F77"/>
    <mergeCell ref="AM77:AX78"/>
    <mergeCell ref="B73:D76"/>
    <mergeCell ref="E73:F73"/>
    <mergeCell ref="AM73:AX74"/>
    <mergeCell ref="G79:AK79"/>
    <mergeCell ref="G80:AK80"/>
    <mergeCell ref="B81:D89"/>
    <mergeCell ref="E78:F78"/>
    <mergeCell ref="E79:F79"/>
    <mergeCell ref="E80:F80"/>
    <mergeCell ref="G81:AK81"/>
    <mergeCell ref="G82:AK82"/>
    <mergeCell ref="G83:AK83"/>
    <mergeCell ref="G84:AK84"/>
    <mergeCell ref="G85:AK85"/>
    <mergeCell ref="E89:F89"/>
    <mergeCell ref="B90:D93"/>
    <mergeCell ref="E90:F90"/>
    <mergeCell ref="E84:F84"/>
    <mergeCell ref="E85:F85"/>
    <mergeCell ref="E86:F86"/>
    <mergeCell ref="E81:F81"/>
    <mergeCell ref="AM90:AX91"/>
    <mergeCell ref="BA90:BA93"/>
    <mergeCell ref="E91:F91"/>
    <mergeCell ref="E92:F92"/>
    <mergeCell ref="E93:F93"/>
    <mergeCell ref="E87:F87"/>
    <mergeCell ref="E88:F88"/>
    <mergeCell ref="G89:AK89"/>
    <mergeCell ref="G90:AK90"/>
    <mergeCell ref="G91:AK91"/>
    <mergeCell ref="G92:AK92"/>
    <mergeCell ref="G93:AK93"/>
    <mergeCell ref="AM81:AX81"/>
    <mergeCell ref="E82:F82"/>
    <mergeCell ref="E83:F83"/>
    <mergeCell ref="AM83:AX84"/>
    <mergeCell ref="G86:AK86"/>
    <mergeCell ref="G87:AK87"/>
    <mergeCell ref="C116:AK116"/>
    <mergeCell ref="C120:AJ120"/>
    <mergeCell ref="AE106:AJ106"/>
    <mergeCell ref="AM106:AY106"/>
    <mergeCell ref="AE107:AK107"/>
    <mergeCell ref="AE108:AK108"/>
    <mergeCell ref="C96:AJ96"/>
    <mergeCell ref="B97:E98"/>
    <mergeCell ref="G97:AK97"/>
    <mergeCell ref="G98:AK98"/>
    <mergeCell ref="AM97:AX98"/>
    <mergeCell ref="J140:AJ140"/>
    <mergeCell ref="J135:AJ135"/>
    <mergeCell ref="J136:AJ136"/>
    <mergeCell ref="J137:AJ137"/>
    <mergeCell ref="J138:AJ138"/>
    <mergeCell ref="J134:AJ134"/>
    <mergeCell ref="B102:AJ102"/>
    <mergeCell ref="C107:AD107"/>
    <mergeCell ref="C108:AD108"/>
    <mergeCell ref="C109:AD109"/>
    <mergeCell ref="C110:AD110"/>
    <mergeCell ref="C111:AD111"/>
    <mergeCell ref="AE112:AK112"/>
    <mergeCell ref="AE113:AK113"/>
    <mergeCell ref="AE109:AK109"/>
    <mergeCell ref="AE110:AK110"/>
    <mergeCell ref="AE111:AK111"/>
    <mergeCell ref="E122:F122"/>
    <mergeCell ref="H122:I122"/>
    <mergeCell ref="K122:L122"/>
    <mergeCell ref="O122:Q122"/>
    <mergeCell ref="R122:AI122"/>
    <mergeCell ref="C112:AD112"/>
    <mergeCell ref="C113:AD113"/>
    <mergeCell ref="BA81:BA89"/>
    <mergeCell ref="C145:AJ145"/>
    <mergeCell ref="C134:I134"/>
    <mergeCell ref="C135:I135"/>
    <mergeCell ref="B130:AK130"/>
    <mergeCell ref="B133:AK133"/>
    <mergeCell ref="C136:I136"/>
    <mergeCell ref="C137:I137"/>
    <mergeCell ref="C138:I138"/>
    <mergeCell ref="C139:I140"/>
    <mergeCell ref="B131:AJ131"/>
    <mergeCell ref="B143:AK143"/>
    <mergeCell ref="C144:AJ144"/>
    <mergeCell ref="C141:I141"/>
    <mergeCell ref="J141:AJ141"/>
    <mergeCell ref="N123:Q123"/>
    <mergeCell ref="R123:S123"/>
    <mergeCell ref="T123:X123"/>
    <mergeCell ref="Y123:Z123"/>
    <mergeCell ref="AA123:AI123"/>
    <mergeCell ref="AM100:AY101"/>
    <mergeCell ref="BA100:BD100"/>
    <mergeCell ref="B139:B140"/>
    <mergeCell ref="J139:AJ139"/>
  </mergeCells>
  <phoneticPr fontId="12"/>
  <conditionalFormatting sqref="B36:AK37">
    <cfRule type="expression" dxfId="74" priority="44">
      <formula>AND($BA$36=0,$BE$36=0,$H$6&lt;&gt;"")</formula>
    </cfRule>
  </conditionalFormatting>
  <conditionalFormatting sqref="B40:AK48 B95:AK95 B96:C96 AK96 B97:AK98">
    <cfRule type="expression" dxfId="73" priority="79">
      <formula>AND($BA$40=0,$BE$40=0,$H$6&lt;&gt;"")</formula>
    </cfRule>
  </conditionalFormatting>
  <conditionalFormatting sqref="B43:AK48">
    <cfRule type="expression" dxfId="71" priority="14">
      <formula>AND($AK$40="×",$AK$41="✓")</formula>
    </cfRule>
    <cfRule type="expression" dxfId="70" priority="78">
      <formula>$AK$40="○"</formula>
    </cfRule>
  </conditionalFormatting>
  <conditionalFormatting sqref="B51:AK51">
    <cfRule type="expression" dxfId="69" priority="80">
      <formula>AND($BA$51=0,$BE$51=0,$H$6&lt;&gt;"")</formula>
    </cfRule>
  </conditionalFormatting>
  <conditionalFormatting sqref="F97:F98">
    <cfRule type="expression" dxfId="68" priority="33">
      <formula>$AI$58=""</formula>
    </cfRule>
  </conditionalFormatting>
  <conditionalFormatting sqref="G65:G94">
    <cfRule type="expression" dxfId="67" priority="53">
      <formula>AND($C$75=0,#REF!&lt;&gt;"")</formula>
    </cfRule>
  </conditionalFormatting>
  <conditionalFormatting sqref="Z17">
    <cfRule type="expression" dxfId="66" priority="75">
      <formula>#REF!="○"</formula>
    </cfRule>
  </conditionalFormatting>
  <conditionalFormatting sqref="AK32">
    <cfRule type="expression" dxfId="65" priority="40">
      <formula>AK33="✓"</formula>
    </cfRule>
  </conditionalFormatting>
  <conditionalFormatting sqref="AK33">
    <cfRule type="expression" dxfId="64" priority="45">
      <formula>$AK$32="○"</formula>
    </cfRule>
  </conditionalFormatting>
  <conditionalFormatting sqref="AK36">
    <cfRule type="expression" dxfId="63" priority="39">
      <formula>AK37="✓"</formula>
    </cfRule>
  </conditionalFormatting>
  <conditionalFormatting sqref="AK37">
    <cfRule type="expression" dxfId="62" priority="20">
      <formula>AK36="○"</formula>
    </cfRule>
    <cfRule type="expression" dxfId="61" priority="42">
      <formula>$AK$36="○"</formula>
    </cfRule>
  </conditionalFormatting>
  <conditionalFormatting sqref="AK40">
    <cfRule type="expression" dxfId="60" priority="41">
      <formula>AK41="✓"</formula>
    </cfRule>
  </conditionalFormatting>
  <conditionalFormatting sqref="AK40:AK41">
    <cfRule type="expression" dxfId="59" priority="17">
      <formula>$AK$43="○"</formula>
    </cfRule>
  </conditionalFormatting>
  <conditionalFormatting sqref="AK41">
    <cfRule type="expression" dxfId="58" priority="43">
      <formula>$AK$40="○"</formula>
    </cfRule>
    <cfRule type="expression" dxfId="57" priority="38">
      <formula>AK40="○"</formula>
    </cfRule>
  </conditionalFormatting>
  <conditionalFormatting sqref="AK43">
    <cfRule type="expression" dxfId="56" priority="24">
      <formula>AK41="✓"</formula>
    </cfRule>
  </conditionalFormatting>
  <conditionalFormatting sqref="AK54">
    <cfRule type="expression" dxfId="55" priority="22">
      <formula>AK54=""</formula>
    </cfRule>
  </conditionalFormatting>
  <conditionalFormatting sqref="AK55">
    <cfRule type="expression" dxfId="54" priority="21">
      <formula>AK54=""</formula>
    </cfRule>
  </conditionalFormatting>
  <conditionalFormatting sqref="AK56">
    <cfRule type="expression" dxfId="53" priority="16">
      <formula>$AK$55="✓"</formula>
    </cfRule>
  </conditionalFormatting>
  <conditionalFormatting sqref="AK96">
    <cfRule type="expression" dxfId="52" priority="34">
      <formula>$AI$58=""</formula>
    </cfRule>
  </conditionalFormatting>
  <conditionalFormatting sqref="AK102">
    <cfRule type="expression" dxfId="51" priority="23">
      <formula>AK102=""</formula>
    </cfRule>
  </conditionalFormatting>
  <conditionalFormatting sqref="AK136">
    <cfRule type="expression" dxfId="50" priority="64">
      <formula>AND($AK$136="", $H$6&lt;&gt;"")</formula>
    </cfRule>
  </conditionalFormatting>
  <conditionalFormatting sqref="AK137">
    <cfRule type="expression" dxfId="49" priority="63">
      <formula>AND($AK$137="", $H$6&lt;&gt;"")</formula>
    </cfRule>
  </conditionalFormatting>
  <conditionalFormatting sqref="AK138">
    <cfRule type="expression" dxfId="48" priority="62">
      <formula>AND($AK$138="", $H$6&lt;&gt;"")</formula>
    </cfRule>
  </conditionalFormatting>
  <conditionalFormatting sqref="AK140">
    <cfRule type="expression" dxfId="47" priority="61">
      <formula>AND($AK$140="", $H$6&lt;&gt;"")</formula>
    </cfRule>
  </conditionalFormatting>
  <conditionalFormatting sqref="AK141">
    <cfRule type="expression" dxfId="46" priority="47">
      <formula>AND(AK141="", $H$7&lt;&gt;"")</formula>
    </cfRule>
  </conditionalFormatting>
  <conditionalFormatting sqref="AM25">
    <cfRule type="expression" dxfId="45" priority="70">
      <formula>$AB$25="○"</formula>
    </cfRule>
  </conditionalFormatting>
  <conditionalFormatting sqref="AM97">
    <cfRule type="expression" dxfId="44" priority="71">
      <formula>$AK$96&lt;&gt;"×"</formula>
    </cfRule>
  </conditionalFormatting>
  <conditionalFormatting sqref="AM65:AX66">
    <cfRule type="expression" dxfId="43" priority="12">
      <formula>OR(AND($AI$58="該当", $BA$65&gt;=2), AND($AI$58="", $BA$65&gt;=1))</formula>
    </cfRule>
  </conditionalFormatting>
  <conditionalFormatting sqref="AM69:AX70">
    <cfRule type="expression" dxfId="42" priority="10">
      <formula>OR(AND($AI$58="該当",$BA$69&gt;=2), AND($AI$58="", $BA$69&gt;=1))</formula>
    </cfRule>
  </conditionalFormatting>
  <conditionalFormatting sqref="AM73:AX74">
    <cfRule type="expression" dxfId="41" priority="4">
      <formula>OR(AND($AI$58="該当", $BA$73&gt;=2), AND($AI$58="", $BA$73&gt;=1))</formula>
    </cfRule>
  </conditionalFormatting>
  <conditionalFormatting sqref="AM77:AX78">
    <cfRule type="expression" dxfId="40" priority="3">
      <formula>OR(AND($AI$58="該当", $BA$77&gt;=2), AND($AI$58="", $BA$77&gt;=1))</formula>
    </cfRule>
  </conditionalFormatting>
  <conditionalFormatting sqref="AM81:AX81">
    <cfRule type="expression" dxfId="39" priority="1">
      <formula>OR($AI$58="", $E$81&lt;&gt;"", $E$82&lt;&gt;"")</formula>
    </cfRule>
  </conditionalFormatting>
  <conditionalFormatting sqref="AM83:AX84">
    <cfRule type="expression" dxfId="38" priority="86">
      <formula>OR(AND($AI$58="該当", $BA$81&gt;=3), AND($AI$58="", $BA$81&gt;=2))</formula>
    </cfRule>
  </conditionalFormatting>
  <conditionalFormatting sqref="AM90:AX91">
    <cfRule type="expression" dxfId="37" priority="2">
      <formula>OR(AND($AI$58="該当", $BA$90&gt;=2), AND($AI$58="", $BA$90&gt;=1))</formula>
    </cfRule>
  </conditionalFormatting>
  <conditionalFormatting sqref="AM97:AX98">
    <cfRule type="expression" dxfId="36" priority="31">
      <formula>$AI$61="該当"</formula>
    </cfRule>
  </conditionalFormatting>
  <conditionalFormatting sqref="AM31:AY33 AM103:AY103">
    <cfRule type="expression" dxfId="35" priority="76">
      <formula>$AK$32=""</formula>
    </cfRule>
  </conditionalFormatting>
  <conditionalFormatting sqref="AM35:AY37">
    <cfRule type="expression" dxfId="34" priority="77">
      <formula>$AK$36=""</formula>
    </cfRule>
  </conditionalFormatting>
  <conditionalFormatting sqref="AM44:AY44">
    <cfRule type="expression" dxfId="33" priority="66">
      <formula>$AK$43&lt;&gt;"×"</formula>
    </cfRule>
  </conditionalFormatting>
  <conditionalFormatting sqref="AM48:AY48">
    <cfRule type="expression" dxfId="32" priority="81">
      <formula>OR(AND($BA$48=FALSE),AND($BA$48=TRUE,$F$48&lt;&gt;""))</formula>
    </cfRule>
  </conditionalFormatting>
  <conditionalFormatting sqref="AM54:AY57 AM106:AY106">
    <cfRule type="expression" dxfId="31" priority="72">
      <formula>$AK$106&lt;&gt;"×"</formula>
    </cfRule>
  </conditionalFormatting>
  <conditionalFormatting sqref="AM100:AY100">
    <cfRule type="expression" dxfId="30" priority="56">
      <formula>$AK$32=""</formula>
    </cfRule>
  </conditionalFormatting>
  <conditionalFormatting sqref="AQ59">
    <cfRule type="expression" dxfId="29" priority="52">
      <formula>#REF!&lt;&gt;""</formula>
    </cfRule>
  </conditionalFormatting>
  <dataValidations count="5">
    <dataValidation imeMode="halfAlpha" allowBlank="1" showInputMessage="1" showErrorMessage="1" sqref="B12 L12" xr:uid="{DB5C827E-434C-4A66-A919-993D08C46609}"/>
    <dataValidation imeMode="hiragana" allowBlank="1" showInputMessage="1" showErrorMessage="1" sqref="X124:X125 T123" xr:uid="{966B5286-2A59-454B-8C82-16F91144C4CF}"/>
    <dataValidation type="whole" imeMode="halfAlpha" allowBlank="1" showInputMessage="1" showErrorMessage="1" error="8 or 9 " sqref="E122:F122" xr:uid="{77E0E9A1-48AB-4274-BD5F-4AAF44D2D9A1}">
      <formula1>8</formula1>
      <formula2>9</formula2>
    </dataValidation>
    <dataValidation type="whole" imeMode="halfAlpha" allowBlank="1" showInputMessage="1" showErrorMessage="1" sqref="H122:I122" xr:uid="{8549E6A7-C6CB-4D07-BAC7-DB5F2CCD5228}">
      <formula1>1</formula1>
      <formula2>12</formula2>
    </dataValidation>
    <dataValidation type="whole" imeMode="halfAlpha" allowBlank="1" showInputMessage="1" showErrorMessage="1" sqref="K122:L122" xr:uid="{18D5720C-6C95-4D67-9B93-3D6DE8C37345}">
      <formula1>1</formula1>
      <formula2>31</formula2>
    </dataValidation>
  </dataValidations>
  <pageMargins left="0.70866141732283472" right="0.70866141732283472" top="0.74803149606299213" bottom="0.74803149606299213" header="0.31496062992125984" footer="0.31496062992125984"/>
  <pageSetup paperSize="9" scale="81" fitToHeight="0" orientation="portrait" r:id="rId1"/>
  <rowBreaks count="3" manualBreakCount="3">
    <brk id="52" max="37" man="1"/>
    <brk id="94" max="37" man="1"/>
    <brk id="125"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06499" r:id="rId4" name="Check Box 3">
              <controlPr locked="0" defaultSize="0" autoFill="0" autoLine="0" autoPict="0">
                <anchor moveWithCells="1">
                  <from>
                    <xdr:col>0</xdr:col>
                    <xdr:colOff>133350</xdr:colOff>
                    <xdr:row>106</xdr:row>
                    <xdr:rowOff>133350</xdr:rowOff>
                  </from>
                  <to>
                    <xdr:col>1</xdr:col>
                    <xdr:colOff>190500</xdr:colOff>
                    <xdr:row>106</xdr:row>
                    <xdr:rowOff>457200</xdr:rowOff>
                  </to>
                </anchor>
              </controlPr>
            </control>
          </mc:Choice>
        </mc:AlternateContent>
        <mc:AlternateContent xmlns:mc="http://schemas.openxmlformats.org/markup-compatibility/2006">
          <mc:Choice Requires="x14">
            <control shapeId="106500" r:id="rId5" name="Check Box 4">
              <controlPr defaultSize="0" autoFill="0" autoLine="0" autoPict="0">
                <anchor moveWithCells="1">
                  <from>
                    <xdr:col>0</xdr:col>
                    <xdr:colOff>133350</xdr:colOff>
                    <xdr:row>107</xdr:row>
                    <xdr:rowOff>19050</xdr:rowOff>
                  </from>
                  <to>
                    <xdr:col>2</xdr:col>
                    <xdr:colOff>9525</xdr:colOff>
                    <xdr:row>108</xdr:row>
                    <xdr:rowOff>19050</xdr:rowOff>
                  </to>
                </anchor>
              </controlPr>
            </control>
          </mc:Choice>
        </mc:AlternateContent>
        <mc:AlternateContent xmlns:mc="http://schemas.openxmlformats.org/markup-compatibility/2006">
          <mc:Choice Requires="x14">
            <control shapeId="106501" r:id="rId6" name="Check Box 5">
              <controlPr defaultSize="0" autoFill="0" autoLine="0" autoPict="0">
                <anchor moveWithCells="1">
                  <from>
                    <xdr:col>0</xdr:col>
                    <xdr:colOff>133350</xdr:colOff>
                    <xdr:row>108</xdr:row>
                    <xdr:rowOff>19050</xdr:rowOff>
                  </from>
                  <to>
                    <xdr:col>2</xdr:col>
                    <xdr:colOff>9525</xdr:colOff>
                    <xdr:row>109</xdr:row>
                    <xdr:rowOff>0</xdr:rowOff>
                  </to>
                </anchor>
              </controlPr>
            </control>
          </mc:Choice>
        </mc:AlternateContent>
        <mc:AlternateContent xmlns:mc="http://schemas.openxmlformats.org/markup-compatibility/2006">
          <mc:Choice Requires="x14">
            <control shapeId="106502" r:id="rId7" name="Check Box 6">
              <controlPr defaultSize="0" autoFill="0" autoLine="0" autoPict="0">
                <anchor moveWithCells="1">
                  <from>
                    <xdr:col>0</xdr:col>
                    <xdr:colOff>133350</xdr:colOff>
                    <xdr:row>109</xdr:row>
                    <xdr:rowOff>19050</xdr:rowOff>
                  </from>
                  <to>
                    <xdr:col>2</xdr:col>
                    <xdr:colOff>9525</xdr:colOff>
                    <xdr:row>110</xdr:row>
                    <xdr:rowOff>19050</xdr:rowOff>
                  </to>
                </anchor>
              </controlPr>
            </control>
          </mc:Choice>
        </mc:AlternateContent>
        <mc:AlternateContent xmlns:mc="http://schemas.openxmlformats.org/markup-compatibility/2006">
          <mc:Choice Requires="x14">
            <control shapeId="106503" r:id="rId8" name="Check Box 7">
              <controlPr defaultSize="0" autoFill="0" autoLine="0" autoPict="0">
                <anchor moveWithCells="1">
                  <from>
                    <xdr:col>0</xdr:col>
                    <xdr:colOff>133350</xdr:colOff>
                    <xdr:row>110</xdr:row>
                    <xdr:rowOff>19050</xdr:rowOff>
                  </from>
                  <to>
                    <xdr:col>2</xdr:col>
                    <xdr:colOff>0</xdr:colOff>
                    <xdr:row>111</xdr:row>
                    <xdr:rowOff>0</xdr:rowOff>
                  </to>
                </anchor>
              </controlPr>
            </control>
          </mc:Choice>
        </mc:AlternateContent>
        <mc:AlternateContent xmlns:mc="http://schemas.openxmlformats.org/markup-compatibility/2006">
          <mc:Choice Requires="x14">
            <control shapeId="106504" r:id="rId9" name="Check Box 8">
              <controlPr defaultSize="0" autoFill="0" autoLine="0" autoPict="0">
                <anchor moveWithCells="1">
                  <from>
                    <xdr:col>0</xdr:col>
                    <xdr:colOff>133350</xdr:colOff>
                    <xdr:row>112</xdr:row>
                    <xdr:rowOff>19050</xdr:rowOff>
                  </from>
                  <to>
                    <xdr:col>2</xdr:col>
                    <xdr:colOff>0</xdr:colOff>
                    <xdr:row>113</xdr:row>
                    <xdr:rowOff>19050</xdr:rowOff>
                  </to>
                </anchor>
              </controlPr>
            </control>
          </mc:Choice>
        </mc:AlternateContent>
        <mc:AlternateContent xmlns:mc="http://schemas.openxmlformats.org/markup-compatibility/2006">
          <mc:Choice Requires="x14">
            <control shapeId="106505" r:id="rId10" name="Check Box 9">
              <controlPr defaultSize="0" autoFill="0" autoLine="0" autoPict="0">
                <anchor moveWithCells="1">
                  <from>
                    <xdr:col>1</xdr:col>
                    <xdr:colOff>190500</xdr:colOff>
                    <xdr:row>44</xdr:row>
                    <xdr:rowOff>28575</xdr:rowOff>
                  </from>
                  <to>
                    <xdr:col>3</xdr:col>
                    <xdr:colOff>57150</xdr:colOff>
                    <xdr:row>44</xdr:row>
                    <xdr:rowOff>209550</xdr:rowOff>
                  </to>
                </anchor>
              </controlPr>
            </control>
          </mc:Choice>
        </mc:AlternateContent>
        <mc:AlternateContent xmlns:mc="http://schemas.openxmlformats.org/markup-compatibility/2006">
          <mc:Choice Requires="x14">
            <control shapeId="106506" r:id="rId11" name="Check Box 10">
              <controlPr defaultSize="0" autoFill="0" autoLine="0" autoPict="0">
                <anchor moveWithCells="1">
                  <from>
                    <xdr:col>1</xdr:col>
                    <xdr:colOff>190500</xdr:colOff>
                    <xdr:row>45</xdr:row>
                    <xdr:rowOff>19050</xdr:rowOff>
                  </from>
                  <to>
                    <xdr:col>3</xdr:col>
                    <xdr:colOff>19050</xdr:colOff>
                    <xdr:row>45</xdr:row>
                    <xdr:rowOff>238125</xdr:rowOff>
                  </to>
                </anchor>
              </controlPr>
            </control>
          </mc:Choice>
        </mc:AlternateContent>
        <mc:AlternateContent xmlns:mc="http://schemas.openxmlformats.org/markup-compatibility/2006">
          <mc:Choice Requires="x14">
            <control shapeId="106507" r:id="rId12" name="Check Box 11">
              <controlPr defaultSize="0" autoFill="0" autoLine="0" autoPict="0">
                <anchor moveWithCells="1">
                  <from>
                    <xdr:col>1</xdr:col>
                    <xdr:colOff>190500</xdr:colOff>
                    <xdr:row>45</xdr:row>
                    <xdr:rowOff>209550</xdr:rowOff>
                  </from>
                  <to>
                    <xdr:col>3</xdr:col>
                    <xdr:colOff>19050</xdr:colOff>
                    <xdr:row>47</xdr:row>
                    <xdr:rowOff>57150</xdr:rowOff>
                  </to>
                </anchor>
              </controlPr>
            </control>
          </mc:Choice>
        </mc:AlternateContent>
        <mc:AlternateContent xmlns:mc="http://schemas.openxmlformats.org/markup-compatibility/2006">
          <mc:Choice Requires="x14">
            <control shapeId="106508" r:id="rId13" name="Check Box 12">
              <controlPr defaultSize="0" autoFill="0" autoLine="0" autoPict="0">
                <anchor moveWithCells="1">
                  <from>
                    <xdr:col>1</xdr:col>
                    <xdr:colOff>190500</xdr:colOff>
                    <xdr:row>46</xdr:row>
                    <xdr:rowOff>209550</xdr:rowOff>
                  </from>
                  <to>
                    <xdr:col>3</xdr:col>
                    <xdr:colOff>38100</xdr:colOff>
                    <xdr:row>48</xdr:row>
                    <xdr:rowOff>19050</xdr:rowOff>
                  </to>
                </anchor>
              </controlPr>
            </control>
          </mc:Choice>
        </mc:AlternateContent>
        <mc:AlternateContent xmlns:mc="http://schemas.openxmlformats.org/markup-compatibility/2006">
          <mc:Choice Requires="x14">
            <control shapeId="106509" r:id="rId14" name="Check Box 13">
              <controlPr defaultSize="0" autoFill="0" autoLine="0" autoPict="0">
                <anchor moveWithCells="1">
                  <from>
                    <xdr:col>0</xdr:col>
                    <xdr:colOff>133350</xdr:colOff>
                    <xdr:row>111</xdr:row>
                    <xdr:rowOff>19050</xdr:rowOff>
                  </from>
                  <to>
                    <xdr:col>2</xdr:col>
                    <xdr:colOff>9525</xdr:colOff>
                    <xdr:row>112</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9" id="{97C2B7DC-ECA8-41D1-A78D-6B97B535C1B8}">
            <xm:f>OR('別紙様式2-2（個票（４、５月））'!$BG$12=1,'別紙様式2-3（個票（６月以降））'!$BL$12=1)</xm:f>
            <x14:dxf>
              <font>
                <color theme="0" tint="-4.9989318521683403E-2"/>
              </font>
              <fill>
                <patternFill>
                  <bgColor theme="0" tint="-4.9989318521683403E-2"/>
                </patternFill>
              </fill>
            </x14:dxf>
          </x14:cfRule>
          <xm:sqref>B41:AK41</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D60EFD2D-55D3-4ED3-888E-9867EA49067A}">
          <x14:formula1>
            <xm:f>【参考】数式用!$AJ$3:$AJ$4</xm:f>
          </x14:formula1>
          <xm:sqref>F97:F98 AK55 AK41 AK37 AK33</xm:sqref>
        </x14:dataValidation>
        <x14:dataValidation type="list" allowBlank="1" showInputMessage="1" showErrorMessage="1" xr:uid="{91965A81-5263-4A51-AA92-35701DEF2C22}">
          <x14:formula1>
            <xm:f>【参考】数式用!$BH$3:$BH$5</xm:f>
          </x14:formula1>
          <xm:sqref>E65:F93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497A4A-0B7D-4DD5-B9CF-B2239A339791}">
  <sheetPr>
    <pageSetUpPr fitToPage="1"/>
  </sheetPr>
  <dimension ref="A1:BP300"/>
  <sheetViews>
    <sheetView view="pageBreakPreview" zoomScale="66" zoomScaleNormal="42" zoomScaleSheetLayoutView="66" zoomScalePageLayoutView="70" workbookViewId="0">
      <selection activeCell="AI108" sqref="AI108"/>
    </sheetView>
  </sheetViews>
  <sheetFormatPr defaultColWidth="2.5" defaultRowHeight="17.25"/>
  <cols>
    <col min="1" max="1" width="5.5" customWidth="1"/>
    <col min="2" max="6" width="2.5" style="107" customWidth="1"/>
    <col min="7" max="7" width="12.5" customWidth="1"/>
    <col min="8" max="8" width="9" customWidth="1"/>
    <col min="9" max="9" width="9.5" style="29" customWidth="1"/>
    <col min="10" max="10" width="19.5" customWidth="1"/>
    <col min="11" max="11" width="17.5" style="16" customWidth="1"/>
    <col min="12" max="12" width="14" customWidth="1"/>
    <col min="13" max="13" width="11.5" style="108" customWidth="1"/>
    <col min="14" max="14" width="20.75" style="102" customWidth="1"/>
    <col min="15" max="15" width="12" style="28" customWidth="1"/>
    <col min="16" max="16" width="6.5" style="103" customWidth="1"/>
    <col min="17" max="17" width="3" style="28" customWidth="1"/>
    <col min="18" max="18" width="3.75" style="16" customWidth="1"/>
    <col min="19" max="19" width="3.5" style="104" customWidth="1"/>
    <col min="20" max="20" width="10.25" style="16" customWidth="1"/>
    <col min="21" max="21" width="3.5" style="104" customWidth="1"/>
    <col min="22" max="22" width="3.5" style="16" customWidth="1"/>
    <col min="23" max="23" width="2.875" style="104" customWidth="1"/>
    <col min="24" max="24" width="2.875" style="16" customWidth="1"/>
    <col min="25" max="25" width="3.5" style="104" customWidth="1"/>
    <col min="26" max="26" width="2.875" style="16" customWidth="1"/>
    <col min="27" max="27" width="7.5" style="16" customWidth="1"/>
    <col min="28" max="28" width="16.875" style="16" customWidth="1"/>
    <col min="29" max="29" width="15" style="16" customWidth="1"/>
    <col min="30" max="30" width="18.125" style="102" customWidth="1"/>
    <col min="31" max="31" width="21.5" style="467" customWidth="1"/>
    <col min="32" max="32" width="21.5" style="106" customWidth="1"/>
    <col min="33" max="33" width="18.5" style="11" customWidth="1"/>
    <col min="34" max="34" width="23.875" style="11" customWidth="1"/>
    <col min="35" max="35" width="24" style="143" customWidth="1"/>
    <col min="36" max="36" width="21.5" style="105" customWidth="1"/>
    <col min="37" max="40" width="22.5" style="106" customWidth="1"/>
    <col min="41" max="41" width="21.5" style="14" customWidth="1"/>
    <col min="42" max="42" width="16.5" style="14" customWidth="1"/>
    <col min="43" max="43" width="18.5" style="99" customWidth="1"/>
    <col min="44" max="44" width="21.5" style="14" customWidth="1"/>
    <col min="45" max="45" width="16.5" style="99" customWidth="1"/>
    <col min="46" max="46" width="14.5" style="99" customWidth="1"/>
    <col min="47" max="47" width="16.625" style="99" customWidth="1"/>
    <col min="48" max="48" width="25.125" style="99" customWidth="1"/>
    <col min="49" max="49" width="11.5" style="99" customWidth="1"/>
    <col min="50" max="50" width="19.875" style="99" customWidth="1"/>
    <col min="51" max="51" width="17" style="99" customWidth="1"/>
    <col min="52" max="52" width="10" style="99" customWidth="1"/>
    <col min="53" max="53" width="16.125" style="99" customWidth="1"/>
    <col min="54" max="54" width="16.5" style="99" customWidth="1"/>
    <col min="55" max="55" width="10" style="646" customWidth="1"/>
    <col min="56" max="57" width="10" style="99" customWidth="1"/>
    <col min="58" max="58" width="12.875" style="99" customWidth="1"/>
    <col min="59" max="59" width="14.5" style="99" customWidth="1"/>
    <col min="60" max="60" width="13.875" style="502" bestFit="1" customWidth="1"/>
    <col min="61" max="61" width="15.5" style="99" customWidth="1"/>
    <col min="62" max="62" width="12.875" style="99" customWidth="1"/>
    <col min="63" max="63" width="11.5" style="99" customWidth="1"/>
    <col min="64" max="66" width="6.875" style="99" customWidth="1"/>
    <col min="67" max="67" width="6.875" style="100" customWidth="1"/>
    <col min="68" max="68" width="22.125" customWidth="1"/>
  </cols>
  <sheetData>
    <row r="1" spans="1:68" s="517" customFormat="1" ht="29.25" customHeight="1" thickBot="1">
      <c r="A1" s="400" t="s">
        <v>217</v>
      </c>
      <c r="B1" s="401"/>
      <c r="C1" s="401"/>
      <c r="D1" s="401"/>
      <c r="E1" s="401"/>
      <c r="F1" s="401"/>
      <c r="G1" s="241"/>
      <c r="H1" s="241"/>
      <c r="I1" s="402"/>
      <c r="J1" s="241"/>
      <c r="K1" s="242"/>
      <c r="L1" s="241"/>
      <c r="M1" s="343"/>
      <c r="N1" s="403"/>
      <c r="O1" s="403"/>
      <c r="P1" s="404"/>
      <c r="Q1" s="405"/>
      <c r="R1" s="283"/>
      <c r="S1" s="406"/>
      <c r="T1" s="406"/>
      <c r="U1" s="406"/>
      <c r="V1" s="406"/>
      <c r="W1" s="406"/>
      <c r="X1" s="406"/>
      <c r="Y1" s="406"/>
      <c r="Z1" s="406"/>
      <c r="AA1" s="406"/>
      <c r="AB1" s="406"/>
      <c r="AC1" s="406"/>
      <c r="AD1" s="407"/>
      <c r="AE1" s="408"/>
      <c r="AF1" s="409"/>
      <c r="AG1" s="15"/>
      <c r="AH1" s="15"/>
      <c r="AI1" s="410" t="s">
        <v>7</v>
      </c>
      <c r="AJ1" s="410" t="str">
        <f>IF(基本情報入力シート!C11="", "",基本情報入力シート!C11)</f>
        <v/>
      </c>
      <c r="AK1" s="513"/>
      <c r="AL1" s="513"/>
      <c r="AM1" s="513"/>
      <c r="AN1" s="513"/>
      <c r="AO1" s="514"/>
      <c r="AP1" s="513"/>
      <c r="AQ1" s="515"/>
      <c r="AR1" s="514"/>
      <c r="AS1" s="515"/>
      <c r="AT1" s="515"/>
      <c r="AU1" s="515"/>
      <c r="AV1" s="515"/>
      <c r="AW1" s="515"/>
      <c r="AX1" s="515"/>
      <c r="AY1" s="515"/>
      <c r="AZ1" s="515"/>
      <c r="BA1" s="515"/>
      <c r="BB1" s="515"/>
      <c r="BC1" s="643"/>
      <c r="BD1" s="515"/>
      <c r="BE1" s="515"/>
      <c r="BF1" s="515"/>
      <c r="BG1" s="516"/>
      <c r="BH1" s="631"/>
    </row>
    <row r="2" spans="1:68" s="517" customFormat="1" ht="21" customHeight="1" thickBot="1">
      <c r="A2" s="411"/>
      <c r="B2" s="412"/>
      <c r="C2" s="412"/>
      <c r="D2" s="412"/>
      <c r="E2" s="412"/>
      <c r="F2" s="412"/>
      <c r="G2" s="413"/>
      <c r="H2" s="413"/>
      <c r="I2" s="414"/>
      <c r="J2" s="413"/>
      <c r="K2" s="415"/>
      <c r="L2" s="413"/>
      <c r="M2" s="416"/>
      <c r="N2" s="403"/>
      <c r="O2" s="403"/>
      <c r="P2" s="404"/>
      <c r="Q2" s="405"/>
      <c r="R2" s="283"/>
      <c r="S2" s="283"/>
      <c r="T2" s="283"/>
      <c r="U2" s="283"/>
      <c r="V2" s="283"/>
      <c r="W2" s="283"/>
      <c r="X2" s="283"/>
      <c r="Y2" s="283"/>
      <c r="Z2" s="283"/>
      <c r="AA2" s="283"/>
      <c r="AB2" s="283"/>
      <c r="AC2" s="283"/>
      <c r="AD2" s="407"/>
      <c r="AE2" s="417"/>
      <c r="AF2" s="418"/>
      <c r="AG2" s="15"/>
      <c r="AH2" s="15"/>
      <c r="AI2" s="419"/>
      <c r="AJ2" s="420"/>
      <c r="AK2" s="518"/>
      <c r="AL2" s="518"/>
      <c r="AM2" s="518"/>
      <c r="AN2" s="518"/>
      <c r="AO2" s="518"/>
      <c r="AP2" s="519"/>
      <c r="AQ2" s="515"/>
      <c r="AR2" s="518"/>
      <c r="AS2" s="515"/>
      <c r="AT2" s="515"/>
      <c r="AU2" s="515"/>
      <c r="AV2" s="515"/>
      <c r="AW2" s="515"/>
      <c r="AX2" s="515"/>
      <c r="AY2" s="515"/>
      <c r="AZ2" s="515"/>
      <c r="BA2" s="515"/>
      <c r="BB2" s="515"/>
      <c r="BC2" s="643"/>
      <c r="BD2" s="515"/>
      <c r="BE2" s="515"/>
      <c r="BF2" s="515"/>
      <c r="BG2" s="516"/>
      <c r="BH2" s="631"/>
    </row>
    <row r="3" spans="1:68" s="517" customFormat="1" ht="27" customHeight="1" thickBot="1">
      <c r="A3" s="943" t="s">
        <v>53</v>
      </c>
      <c r="B3" s="943"/>
      <c r="C3" s="944"/>
      <c r="D3" s="945" t="str">
        <f>IF(基本情報入力シート!L16="","",基本情報入力シート!L16)</f>
        <v/>
      </c>
      <c r="E3" s="946"/>
      <c r="F3" s="946"/>
      <c r="G3" s="946"/>
      <c r="H3" s="946"/>
      <c r="I3" s="946"/>
      <c r="J3" s="947"/>
      <c r="K3" s="242"/>
      <c r="L3" s="421"/>
      <c r="M3" s="422"/>
      <c r="N3" s="423"/>
      <c r="O3" s="423"/>
      <c r="P3" s="404"/>
      <c r="Q3" s="405"/>
      <c r="R3" s="283"/>
      <c r="S3" s="406"/>
      <c r="T3" s="406"/>
      <c r="U3" s="406"/>
      <c r="V3" s="406"/>
      <c r="W3" s="406"/>
      <c r="X3" s="406"/>
      <c r="Y3" s="406"/>
      <c r="Z3" s="406"/>
      <c r="AA3" s="406"/>
      <c r="AB3" s="406"/>
      <c r="AC3" s="406"/>
      <c r="AD3" s="407"/>
      <c r="AE3" s="417"/>
      <c r="AF3" s="418"/>
      <c r="AG3" s="15"/>
      <c r="AH3" s="15"/>
      <c r="AI3" s="419"/>
      <c r="AJ3" s="420"/>
      <c r="AK3" s="518"/>
      <c r="AL3" s="518"/>
      <c r="AM3" s="518"/>
      <c r="AN3" s="518"/>
      <c r="AO3" s="518"/>
      <c r="AP3" s="519"/>
      <c r="AQ3" s="520"/>
      <c r="AR3" s="518"/>
      <c r="AS3" s="520"/>
      <c r="AT3" s="520"/>
      <c r="AU3" s="515"/>
      <c r="AV3" s="515"/>
      <c r="AW3" s="515"/>
      <c r="AX3" s="515"/>
      <c r="AY3" s="515"/>
      <c r="AZ3" s="515"/>
      <c r="BA3" s="515"/>
      <c r="BB3" s="515"/>
      <c r="BC3" s="643"/>
      <c r="BD3" s="515"/>
      <c r="BE3" s="515"/>
      <c r="BF3" s="515"/>
      <c r="BG3" s="515"/>
      <c r="BH3" s="631"/>
      <c r="BI3" s="515"/>
      <c r="BJ3" s="515"/>
      <c r="BK3" s="516"/>
    </row>
    <row r="4" spans="1:68" s="517" customFormat="1" ht="21" customHeight="1" thickBot="1">
      <c r="A4" s="425"/>
      <c r="B4" s="426"/>
      <c r="C4" s="426"/>
      <c r="D4" s="427"/>
      <c r="E4" s="427"/>
      <c r="F4" s="427"/>
      <c r="G4" s="428"/>
      <c r="H4" s="428"/>
      <c r="I4" s="428"/>
      <c r="J4" s="428"/>
      <c r="K4" s="428"/>
      <c r="L4" s="421"/>
      <c r="M4" s="422"/>
      <c r="N4" s="423"/>
      <c r="O4" s="423"/>
      <c r="P4" s="404"/>
      <c r="Q4" s="405"/>
      <c r="R4" s="283"/>
      <c r="S4" s="406"/>
      <c r="T4" s="406"/>
      <c r="U4" s="406"/>
      <c r="V4" s="406"/>
      <c r="W4" s="406"/>
      <c r="X4" s="406"/>
      <c r="Y4" s="406"/>
      <c r="Z4" s="406"/>
      <c r="AA4" s="406"/>
      <c r="AB4" s="406"/>
      <c r="AC4" s="406"/>
      <c r="AD4" s="407"/>
      <c r="AE4" s="983" t="s">
        <v>218</v>
      </c>
      <c r="AF4" s="983"/>
      <c r="AG4" s="983"/>
      <c r="AH4" s="983"/>
      <c r="AI4" s="983"/>
      <c r="AJ4" s="983"/>
      <c r="AK4" s="518"/>
      <c r="AL4" s="518"/>
      <c r="AM4" s="518"/>
      <c r="AN4" s="518"/>
      <c r="AO4" s="518"/>
      <c r="AP4" s="519"/>
      <c r="AQ4" s="515"/>
      <c r="AR4" s="518"/>
      <c r="AS4" s="515"/>
      <c r="AT4" s="515"/>
      <c r="AU4" s="515"/>
      <c r="AV4" s="515"/>
      <c r="AW4" s="515"/>
      <c r="AX4" s="515"/>
      <c r="AY4" s="515"/>
      <c r="AZ4" s="515"/>
      <c r="BA4" s="515"/>
      <c r="BB4" s="515"/>
      <c r="BC4" s="643"/>
      <c r="BD4" s="515"/>
      <c r="BE4" s="515"/>
      <c r="BF4" s="515"/>
      <c r="BG4" s="515"/>
      <c r="BH4" s="631"/>
      <c r="BI4" s="515"/>
      <c r="BJ4" s="515"/>
      <c r="BK4" s="516"/>
    </row>
    <row r="5" spans="1:68" s="517" customFormat="1" ht="35.25" customHeight="1" thickBot="1">
      <c r="A5" s="948" t="s">
        <v>219</v>
      </c>
      <c r="B5" s="949"/>
      <c r="C5" s="949"/>
      <c r="D5" s="949"/>
      <c r="E5" s="949"/>
      <c r="F5" s="949"/>
      <c r="G5" s="949"/>
      <c r="H5" s="949"/>
      <c r="I5" s="949"/>
      <c r="J5" s="949"/>
      <c r="K5" s="950"/>
      <c r="L5" s="928">
        <f>IFERROR(SUM(AB:AB),"")</f>
        <v>0</v>
      </c>
      <c r="M5" s="929"/>
      <c r="N5" s="429" t="s">
        <v>61</v>
      </c>
      <c r="O5" s="423"/>
      <c r="P5" s="430"/>
      <c r="Q5" s="404"/>
      <c r="R5" s="405"/>
      <c r="S5" s="283"/>
      <c r="T5" s="406"/>
      <c r="U5" s="406"/>
      <c r="V5" s="406"/>
      <c r="W5" s="406"/>
      <c r="X5" s="406"/>
      <c r="Y5" s="406"/>
      <c r="Z5" s="406"/>
      <c r="AA5" s="406"/>
      <c r="AB5" s="406"/>
      <c r="AC5" s="406"/>
      <c r="AD5" s="407"/>
      <c r="AE5" s="930" t="s">
        <v>220</v>
      </c>
      <c r="AF5" s="931"/>
      <c r="AG5" s="931"/>
      <c r="AH5" s="931"/>
      <c r="AI5" s="932"/>
      <c r="AJ5" s="431">
        <f>COUNTIFS(AT:AT,"対象", BH:BH,"その他", K:K,"&lt;&gt;*短期入所*")</f>
        <v>0</v>
      </c>
      <c r="AK5" s="521"/>
      <c r="AL5" s="521"/>
      <c r="AM5" s="521"/>
      <c r="AN5" s="521"/>
      <c r="AO5" s="522"/>
      <c r="AP5" s="523"/>
      <c r="AQ5" s="515"/>
      <c r="AR5" s="522"/>
      <c r="AS5" s="515"/>
      <c r="AT5" s="515"/>
      <c r="AU5" s="515"/>
      <c r="AV5" s="515"/>
      <c r="AW5" s="515"/>
      <c r="AX5" s="515"/>
      <c r="AY5" s="515"/>
      <c r="AZ5" s="515"/>
      <c r="BA5" s="515"/>
      <c r="BB5" s="515"/>
      <c r="BC5" s="643"/>
      <c r="BD5" s="515"/>
      <c r="BE5" s="515"/>
      <c r="BF5" s="515"/>
      <c r="BG5" s="515"/>
      <c r="BH5" s="631"/>
      <c r="BI5" s="515"/>
      <c r="BJ5" s="515"/>
      <c r="BK5" s="516"/>
    </row>
    <row r="6" spans="1:68" s="517" customFormat="1" ht="35.25" customHeight="1" thickBot="1">
      <c r="A6" s="432"/>
      <c r="B6" s="925" t="s">
        <v>221</v>
      </c>
      <c r="C6" s="926"/>
      <c r="D6" s="926"/>
      <c r="E6" s="926"/>
      <c r="F6" s="926"/>
      <c r="G6" s="926"/>
      <c r="H6" s="926"/>
      <c r="I6" s="926"/>
      <c r="J6" s="926"/>
      <c r="K6" s="927"/>
      <c r="L6" s="928">
        <f>IFERROR(SUM(AC:AC),"")</f>
        <v>0</v>
      </c>
      <c r="M6" s="929"/>
      <c r="N6" s="429" t="s">
        <v>61</v>
      </c>
      <c r="O6" s="403"/>
      <c r="P6" s="430"/>
      <c r="Q6" s="404"/>
      <c r="R6" s="405"/>
      <c r="S6" s="283"/>
      <c r="T6" s="406"/>
      <c r="U6" s="406"/>
      <c r="V6" s="406"/>
      <c r="W6" s="406"/>
      <c r="X6" s="406"/>
      <c r="Y6" s="406"/>
      <c r="Z6" s="406"/>
      <c r="AA6" s="406"/>
      <c r="AB6" s="406"/>
      <c r="AC6" s="406"/>
      <c r="AD6" s="407"/>
      <c r="AE6" s="930" t="s">
        <v>222</v>
      </c>
      <c r="AF6" s="931"/>
      <c r="AG6" s="931"/>
      <c r="AH6" s="931"/>
      <c r="AI6" s="932"/>
      <c r="AJ6" s="433">
        <f>SUMIFS(AG:AG, AT:AT, "対象", BH:BH, "その他", K:K, "&lt;&gt;*短期入所*")</f>
        <v>0</v>
      </c>
      <c r="AK6" s="522"/>
      <c r="AL6" s="522"/>
      <c r="AM6" s="522"/>
      <c r="AN6" s="522"/>
      <c r="AO6" s="522"/>
      <c r="AP6" s="523"/>
      <c r="AQ6" s="515"/>
      <c r="AR6" s="522"/>
      <c r="AS6" s="515"/>
      <c r="AT6" s="515"/>
      <c r="AU6" s="524"/>
      <c r="AV6" s="524"/>
      <c r="AW6" s="524"/>
      <c r="AX6" s="924"/>
      <c r="AY6" s="924"/>
      <c r="AZ6" s="924"/>
      <c r="BA6" s="924"/>
      <c r="BB6" s="924"/>
      <c r="BC6" s="924"/>
      <c r="BD6" s="924"/>
      <c r="BE6" s="924"/>
      <c r="BF6" s="924"/>
      <c r="BG6" s="924"/>
      <c r="BH6" s="924"/>
      <c r="BI6" s="924"/>
      <c r="BJ6" s="525"/>
      <c r="BK6" s="924"/>
      <c r="BL6" s="924"/>
      <c r="BM6" s="924"/>
      <c r="BN6" s="924"/>
      <c r="BO6" s="924"/>
    </row>
    <row r="7" spans="1:68" s="517" customFormat="1" ht="35.25" customHeight="1" thickBot="1">
      <c r="A7" s="951" t="s">
        <v>223</v>
      </c>
      <c r="B7" s="951"/>
      <c r="C7" s="951"/>
      <c r="D7" s="951"/>
      <c r="E7" s="951"/>
      <c r="F7" s="951"/>
      <c r="G7" s="951"/>
      <c r="H7" s="951"/>
      <c r="I7" s="951"/>
      <c r="J7" s="951"/>
      <c r="K7" s="951"/>
      <c r="L7" s="951"/>
      <c r="M7" s="951"/>
      <c r="N7" s="434"/>
      <c r="O7" s="403"/>
      <c r="P7" s="430"/>
      <c r="Q7" s="404"/>
      <c r="R7" s="405"/>
      <c r="S7" s="283"/>
      <c r="T7" s="406"/>
      <c r="U7" s="406"/>
      <c r="V7" s="406"/>
      <c r="W7" s="406"/>
      <c r="X7" s="406"/>
      <c r="Y7" s="406"/>
      <c r="Z7" s="406"/>
      <c r="AA7" s="406"/>
      <c r="AB7" s="406"/>
      <c r="AC7" s="406"/>
      <c r="AD7" s="407"/>
      <c r="AE7" s="930" t="s">
        <v>224</v>
      </c>
      <c r="AF7" s="931"/>
      <c r="AG7" s="931"/>
      <c r="AH7" s="931"/>
      <c r="AI7" s="932"/>
      <c r="AJ7" s="433">
        <f>COUNTIFS(AT:AT, "対象",BH:BH, "その他",K:K, "&lt;&gt;*短期入所*",AG:AG, 0,AH:AH, "令和８年度特例要件*")</f>
        <v>0</v>
      </c>
      <c r="AK7" s="522"/>
      <c r="AL7" s="522"/>
      <c r="AM7" s="522"/>
      <c r="AN7" s="522"/>
      <c r="AO7" s="522"/>
      <c r="AP7" s="523"/>
      <c r="AQ7" s="515"/>
      <c r="AR7" s="522"/>
      <c r="AS7" s="515"/>
      <c r="AT7" s="515"/>
      <c r="AU7" s="524"/>
      <c r="AV7" s="524"/>
      <c r="AW7" s="524"/>
      <c r="AX7" s="525"/>
      <c r="AY7" s="525"/>
      <c r="AZ7" s="525"/>
      <c r="BA7" s="525"/>
      <c r="BB7" s="525"/>
      <c r="BC7" s="644"/>
      <c r="BD7" s="525"/>
      <c r="BE7" s="525"/>
      <c r="BF7" s="525"/>
      <c r="BG7" s="525"/>
      <c r="BH7" s="632"/>
      <c r="BI7" s="525"/>
      <c r="BJ7" s="525"/>
      <c r="BK7" s="525"/>
      <c r="BL7" s="525"/>
      <c r="BM7" s="525"/>
      <c r="BN7" s="525"/>
      <c r="BO7" s="525"/>
    </row>
    <row r="8" spans="1:68" s="517" customFormat="1" ht="35.25" customHeight="1" thickBot="1">
      <c r="A8" s="15"/>
      <c r="B8" s="435"/>
      <c r="C8" s="435"/>
      <c r="D8" s="435"/>
      <c r="E8" s="435"/>
      <c r="F8" s="435"/>
      <c r="G8" s="15"/>
      <c r="H8" s="15"/>
      <c r="I8" s="436"/>
      <c r="J8" s="15"/>
      <c r="K8" s="283"/>
      <c r="L8" s="15"/>
      <c r="M8" s="437"/>
      <c r="N8" s="403"/>
      <c r="O8" s="403"/>
      <c r="P8" s="438"/>
      <c r="Q8" s="405"/>
      <c r="R8" s="283"/>
      <c r="S8" s="283"/>
      <c r="T8" s="283"/>
      <c r="U8" s="406"/>
      <c r="V8" s="283"/>
      <c r="W8" s="283"/>
      <c r="X8" s="283"/>
      <c r="Y8" s="283"/>
      <c r="Z8" s="283"/>
      <c r="AA8" s="283"/>
      <c r="AB8" s="283"/>
      <c r="AC8" s="283"/>
      <c r="AD8" s="417"/>
      <c r="AE8" s="417"/>
      <c r="AF8" s="418"/>
      <c r="AG8" s="15"/>
      <c r="AH8" s="15"/>
      <c r="AI8" s="419"/>
      <c r="AJ8" s="420"/>
      <c r="AK8" s="518"/>
      <c r="AL8" s="518"/>
      <c r="AM8" s="518"/>
      <c r="AN8" s="518"/>
      <c r="AO8" s="515"/>
      <c r="AP8" s="515"/>
      <c r="AQ8" s="921"/>
      <c r="AR8" s="921"/>
      <c r="AS8" s="921"/>
      <c r="AT8" s="921"/>
      <c r="AU8" s="921"/>
      <c r="AV8" s="921"/>
      <c r="AW8" s="921"/>
      <c r="AX8" s="921"/>
      <c r="AY8" s="526"/>
      <c r="AZ8" s="921"/>
      <c r="BA8" s="921"/>
      <c r="BB8" s="921"/>
      <c r="BC8" s="921"/>
      <c r="BD8" s="921"/>
      <c r="BE8" s="921"/>
      <c r="BF8" s="526"/>
      <c r="BG8" s="921"/>
      <c r="BH8" s="921"/>
      <c r="BI8" s="921"/>
      <c r="BJ8" s="921"/>
      <c r="BK8" s="921"/>
    </row>
    <row r="9" spans="1:68" s="528" customFormat="1" ht="31.9" customHeight="1" thickBot="1">
      <c r="A9" s="15"/>
      <c r="B9" s="435"/>
      <c r="C9" s="435"/>
      <c r="D9" s="435"/>
      <c r="E9" s="435"/>
      <c r="F9" s="435"/>
      <c r="G9" s="15"/>
      <c r="H9" s="15"/>
      <c r="I9" s="436"/>
      <c r="J9" s="15"/>
      <c r="K9" s="283"/>
      <c r="L9" s="15"/>
      <c r="M9" s="343"/>
      <c r="N9" s="439"/>
      <c r="O9" s="405"/>
      <c r="P9" s="283"/>
      <c r="Q9" s="406"/>
      <c r="R9" s="406"/>
      <c r="S9" s="406"/>
      <c r="T9" s="406"/>
      <c r="U9" s="406"/>
      <c r="V9" s="406"/>
      <c r="W9" s="406"/>
      <c r="X9" s="406"/>
      <c r="Y9" s="406"/>
      <c r="Z9" s="406"/>
      <c r="AA9" s="406"/>
      <c r="AB9" s="440"/>
      <c r="AC9" s="922" t="str">
        <f>IF(D3="", "", IFERROR(IF(COUNTIF(AP12:AP111,"未入力")=0,"○","×"),""))</f>
        <v/>
      </c>
      <c r="AD9" s="923"/>
      <c r="AE9" s="441" t="str">
        <f>IF(D3="", "", IFERROR(IF(COUNTIF(AQ:AQ,"未入力")=0,"○","×"),""))</f>
        <v/>
      </c>
      <c r="AF9" s="441" t="str">
        <f>IF(D3="", "", IFERROR(IF(COUNTIF(AS:AS,"未入力")=0,"○","×"),""))</f>
        <v/>
      </c>
      <c r="AG9" s="922" t="str">
        <f>IF(D3="", "", IFERROR(IF(COUNTIF(AW:AW,"未入力")=0,"○","×"),""))</f>
        <v/>
      </c>
      <c r="AH9" s="923"/>
      <c r="AI9" s="442" t="str">
        <f>IF(D3="","", IF(COUNTIF(AZ:AZ,"未入力")=0,"○","×"))</f>
        <v/>
      </c>
      <c r="AJ9" s="442" t="str">
        <f>IF(D3="","",IF(BF12=0,"",IF(COUNTIF(BC:BC,"未入力")=0,"○","×")))</f>
        <v/>
      </c>
      <c r="AK9" s="527"/>
      <c r="AL9" s="527"/>
      <c r="AM9" s="518"/>
      <c r="AN9" s="518"/>
      <c r="BA9" s="529"/>
      <c r="BB9" s="529"/>
      <c r="BC9" s="645"/>
      <c r="BD9" s="529"/>
      <c r="BE9" s="529"/>
      <c r="BF9" s="529"/>
      <c r="BG9" s="529"/>
      <c r="BH9" s="633"/>
      <c r="BI9" s="530"/>
    </row>
    <row r="10" spans="1:68" s="517" customFormat="1" ht="53.25" customHeight="1" thickBot="1">
      <c r="A10" s="969"/>
      <c r="B10" s="971" t="s">
        <v>225</v>
      </c>
      <c r="C10" s="972"/>
      <c r="D10" s="972"/>
      <c r="E10" s="972"/>
      <c r="F10" s="973"/>
      <c r="G10" s="977" t="s">
        <v>39</v>
      </c>
      <c r="H10" s="936" t="s">
        <v>40</v>
      </c>
      <c r="I10" s="936"/>
      <c r="J10" s="937" t="s">
        <v>226</v>
      </c>
      <c r="K10" s="939" t="s">
        <v>42</v>
      </c>
      <c r="L10" s="962" t="s">
        <v>227</v>
      </c>
      <c r="M10" s="964" t="s">
        <v>228</v>
      </c>
      <c r="N10" s="966" t="s">
        <v>229</v>
      </c>
      <c r="O10" s="961" t="s">
        <v>230</v>
      </c>
      <c r="P10" s="952" t="s">
        <v>231</v>
      </c>
      <c r="Q10" s="953"/>
      <c r="R10" s="953"/>
      <c r="S10" s="953"/>
      <c r="T10" s="953"/>
      <c r="U10" s="953"/>
      <c r="V10" s="953"/>
      <c r="W10" s="953"/>
      <c r="X10" s="953"/>
      <c r="Y10" s="953"/>
      <c r="Z10" s="953"/>
      <c r="AA10" s="954"/>
      <c r="AB10" s="958" t="s">
        <v>232</v>
      </c>
      <c r="AC10" s="960" t="s">
        <v>233</v>
      </c>
      <c r="AD10" s="961"/>
      <c r="AE10" s="443" t="s">
        <v>234</v>
      </c>
      <c r="AF10" s="443" t="s">
        <v>235</v>
      </c>
      <c r="AG10" s="979" t="s">
        <v>236</v>
      </c>
      <c r="AH10" s="961"/>
      <c r="AI10" s="444" t="s">
        <v>237</v>
      </c>
      <c r="AJ10" s="445" t="s">
        <v>238</v>
      </c>
      <c r="AK10" s="531"/>
      <c r="AL10" s="531"/>
      <c r="AM10" s="532"/>
      <c r="AN10" s="533" t="s">
        <v>239</v>
      </c>
      <c r="AO10" s="534"/>
      <c r="AP10" s="519"/>
      <c r="AQ10" s="535"/>
      <c r="AR10" s="535"/>
      <c r="AS10" s="535"/>
      <c r="AT10" s="535"/>
      <c r="AU10" s="535"/>
      <c r="AV10" s="535"/>
      <c r="AW10" s="535"/>
      <c r="AX10" s="535"/>
      <c r="AY10" s="535"/>
      <c r="AZ10" s="535"/>
      <c r="BA10" s="535"/>
      <c r="BB10" s="535"/>
      <c r="BC10" s="643"/>
      <c r="BD10" s="535"/>
      <c r="BE10" s="535"/>
      <c r="BF10" s="535"/>
      <c r="BG10" s="535"/>
      <c r="BH10" s="631"/>
      <c r="BI10" s="515"/>
      <c r="BJ10" s="515"/>
      <c r="BK10" s="515"/>
      <c r="BL10" s="515"/>
      <c r="BM10" s="516"/>
      <c r="BN10" s="536"/>
    </row>
    <row r="11" spans="1:68" s="517" customFormat="1" ht="159.75" customHeight="1" thickBot="1">
      <c r="A11" s="970"/>
      <c r="B11" s="974"/>
      <c r="C11" s="975"/>
      <c r="D11" s="975"/>
      <c r="E11" s="975"/>
      <c r="F11" s="976"/>
      <c r="G11" s="978"/>
      <c r="H11" s="446" t="s">
        <v>240</v>
      </c>
      <c r="I11" s="446" t="s">
        <v>241</v>
      </c>
      <c r="J11" s="938"/>
      <c r="K11" s="940"/>
      <c r="L11" s="963"/>
      <c r="M11" s="965"/>
      <c r="N11" s="967"/>
      <c r="O11" s="968"/>
      <c r="P11" s="955"/>
      <c r="Q11" s="956"/>
      <c r="R11" s="956"/>
      <c r="S11" s="956"/>
      <c r="T11" s="956"/>
      <c r="U11" s="956"/>
      <c r="V11" s="956"/>
      <c r="W11" s="956"/>
      <c r="X11" s="956"/>
      <c r="Y11" s="956"/>
      <c r="Z11" s="956"/>
      <c r="AA11" s="957"/>
      <c r="AB11" s="959"/>
      <c r="AC11" s="447" t="s">
        <v>242</v>
      </c>
      <c r="AD11" s="448" t="s">
        <v>243</v>
      </c>
      <c r="AE11" s="449" t="s">
        <v>244</v>
      </c>
      <c r="AF11" s="450" t="s">
        <v>245</v>
      </c>
      <c r="AG11" s="450" t="s">
        <v>246</v>
      </c>
      <c r="AH11" s="451" t="s">
        <v>247</v>
      </c>
      <c r="AI11" s="452" t="s">
        <v>248</v>
      </c>
      <c r="AJ11" s="453" t="s">
        <v>249</v>
      </c>
      <c r="AK11" s="941" t="s">
        <v>250</v>
      </c>
      <c r="AL11" s="942"/>
      <c r="AM11" s="537"/>
      <c r="AN11" s="538" t="s">
        <v>251</v>
      </c>
      <c r="AO11" s="538" t="s">
        <v>252</v>
      </c>
      <c r="AP11" s="538" t="s">
        <v>253</v>
      </c>
      <c r="AQ11" s="538" t="s">
        <v>254</v>
      </c>
      <c r="AR11" s="538" t="s">
        <v>255</v>
      </c>
      <c r="AS11" s="538" t="s">
        <v>256</v>
      </c>
      <c r="AT11" s="538" t="s">
        <v>257</v>
      </c>
      <c r="AU11" s="538" t="s">
        <v>2489</v>
      </c>
      <c r="AV11" s="538" t="s">
        <v>259</v>
      </c>
      <c r="AW11" s="538" t="s">
        <v>260</v>
      </c>
      <c r="AX11" s="538" t="s">
        <v>261</v>
      </c>
      <c r="AY11" s="538" t="s">
        <v>262</v>
      </c>
      <c r="AZ11" s="538" t="s">
        <v>263</v>
      </c>
      <c r="BA11" s="538" t="s">
        <v>264</v>
      </c>
      <c r="BB11" s="538" t="s">
        <v>265</v>
      </c>
      <c r="BC11" s="647" t="s">
        <v>266</v>
      </c>
      <c r="BD11" s="538" t="s">
        <v>267</v>
      </c>
      <c r="BE11" s="541" t="s">
        <v>268</v>
      </c>
      <c r="BF11" s="538" t="s">
        <v>269</v>
      </c>
      <c r="BG11" s="538" t="s">
        <v>270</v>
      </c>
      <c r="BH11" s="635" t="s">
        <v>2488</v>
      </c>
    </row>
    <row r="12" spans="1:68" s="517" customFormat="1" ht="109.9" customHeight="1" thickBot="1">
      <c r="A12" s="454">
        <v>1</v>
      </c>
      <c r="B12" s="933" t="str">
        <f>IF(基本情報入力シート!B40="","",基本情報入力シート!B40)</f>
        <v/>
      </c>
      <c r="C12" s="934"/>
      <c r="D12" s="934"/>
      <c r="E12" s="934"/>
      <c r="F12" s="935"/>
      <c r="G12" s="455" t="str">
        <f>IF(基本情報入力シート!L40="", "", 基本情報入力シート!L40)</f>
        <v/>
      </c>
      <c r="H12" s="455" t="str">
        <f>IF(基本情報入力シート!Q40="", "", 基本情報入力シート!Q40)</f>
        <v/>
      </c>
      <c r="I12" s="455" t="str">
        <f>IF(基本情報入力シート!V40="", "", 基本情報入力シート!V40)</f>
        <v/>
      </c>
      <c r="J12" s="455" t="str">
        <f>IF(基本情報入力シート!W40="", "", 基本情報入力シート!W40)</f>
        <v/>
      </c>
      <c r="K12" s="455" t="str">
        <f>IF(基本情報入力シート!Z40="", "", 基本情報入力シート!Z40)</f>
        <v/>
      </c>
      <c r="L12" s="101" t="str">
        <f>IF(基本情報入力シート!AF40=0, "",基本情報入力シート!AF40)</f>
        <v/>
      </c>
      <c r="M12" s="142" t="str">
        <f>IF(基本情報入力シート!AG40="","",基本情報入力シート!AG40)</f>
        <v/>
      </c>
      <c r="N12" s="136"/>
      <c r="O12" s="155" t="str">
        <f>IFERROR(VLOOKUP(K12,【参考】数式用!$A$2:$F$57,MATCH(N12,【参考】数式用!$C$3:$F$3,0)+2,0),"")</f>
        <v/>
      </c>
      <c r="P12" s="456" t="s">
        <v>180</v>
      </c>
      <c r="Q12" s="141"/>
      <c r="R12" s="457" t="s">
        <v>271</v>
      </c>
      <c r="S12" s="141"/>
      <c r="T12" s="457" t="s">
        <v>272</v>
      </c>
      <c r="U12" s="141"/>
      <c r="V12" s="457" t="s">
        <v>271</v>
      </c>
      <c r="W12" s="141"/>
      <c r="X12" s="457" t="s">
        <v>273</v>
      </c>
      <c r="Y12" s="457" t="s">
        <v>274</v>
      </c>
      <c r="Z12" s="457" t="str">
        <f>IF(Q12&gt;=1,(U12*12+W12)-(Q12*12+S12)+1,"")</f>
        <v/>
      </c>
      <c r="AA12" s="458" t="s">
        <v>275</v>
      </c>
      <c r="AB12" s="459" t="str">
        <f>IFERROR(ROUNDDOWN(ROUND(L12*O12,0)*M12,0)*Z12,"")</f>
        <v/>
      </c>
      <c r="AC12" s="460" t="str">
        <f>IFERROR(ROUNDDOWN(ROUNDDOWN(ROUND(L12*VLOOKUP(K12,【参考】数式用!$A$4:$F$57,MATCH("処遇改善加算Ⅳ",【参考】数式用!$C$3:$F$3,0)+2,0),0)*M12,0)*Z12*0.5,0), "")</f>
        <v/>
      </c>
      <c r="AD12" s="156"/>
      <c r="AE12" s="157"/>
      <c r="AF12" s="157"/>
      <c r="AG12" s="158"/>
      <c r="AH12" s="159"/>
      <c r="AI12" s="161"/>
      <c r="AJ12" s="161"/>
      <c r="AK12" s="542" t="str">
        <f>IF(AND(N12&lt;&gt;"", OR(U12&lt;&gt;8,W12&lt;&gt;5)),"！算定期間の終わりが令和８年５月になっていません。令和８年６月以降については別シートに記載してください。",
 IF(AND(AN12="加算対象外",N12&lt;&gt;""),"このサービスは、令和８年４月・５月は処遇改善加算の対象ではありません。記入しないでください。",""))</f>
        <v/>
      </c>
      <c r="AL12" s="543" t="str">
        <f>IF(OR(N12="",AN12="加算対象外"),"",IF(OR(AND(COUNTIF(AP12,"未入力")&gt;0,AD12=""),AND(COUNTIF(AQ12,"未入力")&gt;0,AE12=""),AND(COUNTIF(AN12:BE12,"AF列に色付け")&gt;0,AF12=""),AND(COUNTIF(AN12:BE12,"AG列に色付け")&gt;0,OR(AG12="",AG12=0)),AND(COUNTIF(AN12:BE12,"AH列に色付け")&gt;0,AH12=""),AND(COUNTIF(AN12:BE12,"AI列に色付け")&gt;0,AI12=""),AND(COUNTIF(AN12:BE12,"AJ列に色付け")&gt;0,AI12="")),"！記入が必要な欄（オレンジ色のセル）に空欄があります。空欄を埋めてください。",""))</f>
        <v/>
      </c>
      <c r="AM12" s="544"/>
      <c r="AN12" s="548" t="str">
        <f>IFERROR(VLOOKUP(K12,【参考】数式用!$A$2:$N$57,14,FALSE),"")</f>
        <v/>
      </c>
      <c r="AO12" s="548" t="str">
        <f>IF(AND(K12&lt;&gt;"",AN12="加算対象"),"N列に色付け","")</f>
        <v/>
      </c>
      <c r="AP12" s="547" t="str">
        <f>IF(AND(AC12&lt;&gt;0,AC12&lt;&gt;"",AN12="加算対象"),IF(AD12="○","入力済","未入力"),"")</f>
        <v/>
      </c>
      <c r="AQ12" s="547" t="str">
        <f>IF(AND(N12&lt;&gt;"", AE12="",AN12="加算対象"), "未入力", "入力済")</f>
        <v>入力済</v>
      </c>
      <c r="AR12" s="548" t="str">
        <f>IF(AND(N12&lt;&gt;"", N12&lt;&gt;"処遇改善加算Ⅳ",AN12="加算対象"),"AF列に色付け","")</f>
        <v/>
      </c>
      <c r="AS12" s="547" t="str">
        <f>IF(AND(N12&lt;&gt;"", N12&lt;&gt;"処遇改善加算Ⅳ", AF12=""), "未入力", "入力済")</f>
        <v>入力済</v>
      </c>
      <c r="AT12" s="547" t="str">
        <f>IF(OR(N12="処遇改善加算Ⅰ",N12="処遇改善加算Ⅱ"),"対象","")</f>
        <v/>
      </c>
      <c r="AU12" s="547" t="str">
        <f>IF(AND(AN12="加算対象",N12&lt;&gt;"処遇改善加算Ⅲ",N12&lt;&gt;"処遇改善加算Ⅳ", N12&lt;&gt;"", AT12&lt;&gt;"対象外"), 1,"")</f>
        <v/>
      </c>
      <c r="AV12" s="548" t="str">
        <f>IF(AND(AU12=1, OR(AG12=0,AG12=""),AN12="加算対象"),"AH列に色付け","")</f>
        <v/>
      </c>
      <c r="AW12" s="548" t="str">
        <f>IF(AND($AU12=1,$AV12="AH列に色付け",OR($AG12="",$AH12="")),"未入力",IF(AND($AU12=1,$AV12="",$AG12=""),"未入力","入力済"))</f>
        <v>入力済</v>
      </c>
      <c r="AX12" s="547" t="str">
        <f>IFERROR(VLOOKUP(K12,【参考】数式用!$AR$3:$AS$49,2, FALSE), "")</f>
        <v/>
      </c>
      <c r="AY12" s="548" t="str">
        <f>IF(AND(AN12="加算対象",N12="処遇改善加算Ⅰ"),"AI列に色付け","")</f>
        <v/>
      </c>
      <c r="AZ12" s="548" t="str">
        <f>IF(AND(N12="処遇改善加算Ⅰ",AI12= ""), "未入力","入力済")</f>
        <v>入力済</v>
      </c>
      <c r="BA12" s="547" t="str">
        <f>IFERROR(VLOOKUP(K12,【参考】数式用!$AX$3:$AY$56, 2, FALSE), "")</f>
        <v/>
      </c>
      <c r="BB12" s="548" t="str">
        <f>IF(COUNTIF(AE12:AH12,"*令和８年度特例要件を*")&gt;0,"AJ列に色付け","")</f>
        <v/>
      </c>
      <c r="BC12" s="648" t="str">
        <f>IF(AND(COUNTIF(AE12:AH12,"*令和８年度特例要件を*")&gt;0,AJ12=""), "未入力","入力済")</f>
        <v>入力済</v>
      </c>
      <c r="BD12" s="548" t="str">
        <f>IF(BB12="AJ列に色付け","入力必要","")</f>
        <v/>
      </c>
      <c r="BE12" s="548" t="str">
        <f t="shared" ref="BE12:BE43" si="0">G12</f>
        <v/>
      </c>
      <c r="BF12" s="636">
        <f>IF(COUNTIF(BD:BD,"*入力必要*"),1,0)</f>
        <v>0</v>
      </c>
      <c r="BG12" s="636">
        <f>IF(COUNTIF(AH$12:AH$1048576,"*その他*"),1,0)</f>
        <v>0</v>
      </c>
      <c r="BH12" s="635" t="e">
        <f>VLOOKUP(K12,【参考】数式用!$A$2:$O$57,15,FALSE)</f>
        <v>#N/A</v>
      </c>
      <c r="BM12" s="549"/>
    </row>
    <row r="13" spans="1:68" s="550" customFormat="1" ht="109.9" customHeight="1" thickBot="1">
      <c r="A13" s="454">
        <v>2</v>
      </c>
      <c r="B13" s="933" t="str">
        <f>IF(基本情報入力シート!B41="","",基本情報入力シート!B41)</f>
        <v/>
      </c>
      <c r="C13" s="934"/>
      <c r="D13" s="934"/>
      <c r="E13" s="934"/>
      <c r="F13" s="935"/>
      <c r="G13" s="455" t="str">
        <f>IF(基本情報入力シート!L41="", "", 基本情報入力シート!L41)</f>
        <v/>
      </c>
      <c r="H13" s="455" t="str">
        <f>IF(基本情報入力シート!Q41="", "", 基本情報入力シート!Q41)</f>
        <v/>
      </c>
      <c r="I13" s="455" t="str">
        <f>IF(基本情報入力シート!V41="", "", 基本情報入力シート!V41)</f>
        <v/>
      </c>
      <c r="J13" s="455" t="str">
        <f>IF(基本情報入力シート!W41="", "", 基本情報入力シート!W41)</f>
        <v/>
      </c>
      <c r="K13" s="455" t="str">
        <f>IF(基本情報入力シート!Z41="", "", 基本情報入力シート!Z41)</f>
        <v/>
      </c>
      <c r="L13" s="101" t="str">
        <f>IF(基本情報入力シート!AF41=0, "",基本情報入力シート!AF41)</f>
        <v/>
      </c>
      <c r="M13" s="142" t="str">
        <f>IF(基本情報入力シート!AG41="","",基本情報入力シート!AG41)</f>
        <v/>
      </c>
      <c r="N13" s="136"/>
      <c r="O13" s="155" t="str">
        <f>IFERROR(VLOOKUP(K13,【参考】数式用!$A$2:$F$57,MATCH(N13,【参考】数式用!$C$3:$F$3,0)+2,0),"")</f>
        <v/>
      </c>
      <c r="P13" s="456" t="s">
        <v>180</v>
      </c>
      <c r="Q13" s="141"/>
      <c r="R13" s="457" t="s">
        <v>271</v>
      </c>
      <c r="S13" s="141"/>
      <c r="T13" s="457" t="s">
        <v>272</v>
      </c>
      <c r="U13" s="141"/>
      <c r="V13" s="457" t="s">
        <v>271</v>
      </c>
      <c r="W13" s="141"/>
      <c r="X13" s="457" t="s">
        <v>273</v>
      </c>
      <c r="Y13" s="457" t="s">
        <v>274</v>
      </c>
      <c r="Z13" s="457" t="str">
        <f>IF(Q13&gt;=1,(U13*12+W13)-(Q13*12+S13)+1,"")</f>
        <v/>
      </c>
      <c r="AA13" s="458" t="s">
        <v>275</v>
      </c>
      <c r="AB13" s="459" t="str">
        <f>IFERROR(ROUNDDOWN(ROUND(L13*O13,0)*M13,0)*Z13,"")</f>
        <v/>
      </c>
      <c r="AC13" s="460" t="str">
        <f>IFERROR(ROUNDDOWN(ROUNDDOWN(ROUND(L13*VLOOKUP(K13,【参考】数式用!$A$4:$F$57,MATCH("処遇改善加算Ⅳ",【参考】数式用!$C$3:$F$3,0)+2,0),0)*M13,0)*Z13*0.5,0), "")</f>
        <v/>
      </c>
      <c r="AD13" s="156"/>
      <c r="AE13" s="157"/>
      <c r="AF13" s="157"/>
      <c r="AG13" s="158"/>
      <c r="AH13" s="159"/>
      <c r="AI13" s="161"/>
      <c r="AJ13" s="161"/>
      <c r="AK13" s="542" t="str">
        <f t="shared" ref="AK13:AK77" si="1">IF(AND(N13&lt;&gt;"", OR(U13&lt;&gt;8,W13&lt;&gt;5)),"！算定期間の終わりが令和８年５月になっていません。令和８年６月以降については別シートに記載してください。",
 IF(AND(AN13="加算対象外",N13&lt;&gt;""),"このサービスは、令和８年４月・５月は処遇改善加算の対象ではありません。記入しないでください。",""))</f>
        <v/>
      </c>
      <c r="AL13" s="543" t="str">
        <f t="shared" ref="AL13:AL76" si="2">IF(OR(N13="",AN13="加算対象外"),"",IF(OR(AND(COUNTIF(AP13,"未入力")&gt;0,AD13=""),AND(COUNTIF(AQ13,"未入力")&gt;0,AE13=""),AND(COUNTIF(AN13:BE13,"AF列に色付け")&gt;0,AF13=""),AND(COUNTIF(AN13:BE13,"AG列に色付け")&gt;0,OR(AG13="",AG13=0)),AND(COUNTIF(AN13:BE13,"AH列に色付け")&gt;0,AH13=""),AND(COUNTIF(AN13:BE13,"AI列に色付け")&gt;0,AI13=""),AND(COUNTIF(AN13:BE13,"AJ列に色付け")&gt;0,AJ13="")),"！記入が必要な欄（オレンジ色のセル）に空欄があります。空欄を埋めてください。",""))</f>
        <v/>
      </c>
      <c r="AM13" s="544"/>
      <c r="AN13" s="548" t="str">
        <f>IFERROR(VLOOKUP(K13,【参考】数式用!$A$2:$N$57,14,FALSE),"")</f>
        <v/>
      </c>
      <c r="AO13" s="548" t="str">
        <f t="shared" ref="AO13:AO76" si="3">IF(AND(K13&lt;&gt;"",AN13="加算対象"),"N列に色付け","")</f>
        <v/>
      </c>
      <c r="AP13" s="547" t="str">
        <f t="shared" ref="AP13:AP76" si="4">IF(AND(AC13&lt;&gt;0,AC13&lt;&gt;"",AN13="加算対象"),IF(AD13="○","入力済","未入力"),"")</f>
        <v/>
      </c>
      <c r="AQ13" s="547" t="str">
        <f t="shared" ref="AQ13:AQ76" si="5">IF(AND(N13&lt;&gt;"", AE13="",AN13="加算対象"), "未入力", "入力済")</f>
        <v>入力済</v>
      </c>
      <c r="AR13" s="548" t="str">
        <f t="shared" ref="AR13:AR76" si="6">IF(AND(N13&lt;&gt;"", N13&lt;&gt;"処遇改善加算Ⅳ",AN13="加算対象"),"AF列に色付け","")</f>
        <v/>
      </c>
      <c r="AS13" s="547" t="str">
        <f t="shared" ref="AS13:AS76" si="7">IF(AND(N13&lt;&gt;"", N13&lt;&gt;"処遇改善加算Ⅳ", AF13=""), "未入力", "入力済")</f>
        <v>入力済</v>
      </c>
      <c r="AT13" s="547" t="str">
        <f t="shared" ref="AT13:AT77" si="8">IF(OR(N13="処遇改善加算Ⅰ",N13="処遇改善加算Ⅱ"),"対象","")</f>
        <v/>
      </c>
      <c r="AU13" s="547" t="str">
        <f t="shared" ref="AU13" si="9">IF(AND(AN13="加算対象",N13&lt;&gt;"処遇改善加算Ⅲ",N13&lt;&gt;"処遇改善加算Ⅳ", N13&lt;&gt;"", AT13&lt;&gt;"対象外"), 1,"")</f>
        <v/>
      </c>
      <c r="AV13" s="548" t="str">
        <f t="shared" ref="AV13:AV77" si="10">IF(AND(AU13=1, OR(AG13=0,AG13=""),AN13="加算対象"),"AH列に色付け","")</f>
        <v/>
      </c>
      <c r="AW13" s="548" t="str">
        <f t="shared" ref="AW13:AW76" si="11">IF(AND($AU13=1,$AV13="AH列に色付け",OR($AG13="",$AH13="")),"未入力",IF(AND($AU13=1,$AV13="",$AG13=""),"未入力","入力済"))</f>
        <v>入力済</v>
      </c>
      <c r="AX13" s="547" t="str">
        <f>IFERROR(VLOOKUP(K13,【参考】数式用!$AR$3:$AS$49,2, FALSE), "")</f>
        <v/>
      </c>
      <c r="AY13" s="548" t="str">
        <f t="shared" ref="AY13:AY76" si="12">IF(AND(AN13="加算対象",N13="処遇改善加算Ⅰ"),"AI列に色付け","")</f>
        <v/>
      </c>
      <c r="AZ13" s="548" t="str">
        <f t="shared" ref="AZ13:AZ77" si="13">IF(AND(N13="処遇改善加算Ⅰ", AI13=""), "未入力","入力済")</f>
        <v>入力済</v>
      </c>
      <c r="BA13" s="547" t="str">
        <f>IFERROR(VLOOKUP(K13,【参考】数式用!$AX$3:$AY$56, 2, FALSE), "")</f>
        <v/>
      </c>
      <c r="BB13" s="548" t="str">
        <f t="shared" ref="BB13:BB43" si="14">IF(COUNTIF(AE13:AH13,"*令和８年度特例要件を*")&gt;0,"AJ列に色付け","")</f>
        <v/>
      </c>
      <c r="BC13" s="648" t="str">
        <f t="shared" ref="BC13:BC76" si="15">IF(AND(COUNTIF(AE13:AH13,"*令和８年度特例要件を*")&gt;0,AJ13=""), "未入力","入力済")</f>
        <v>入力済</v>
      </c>
      <c r="BD13" s="548" t="str">
        <f>IF(BB13="AJ列に色付け","入力必要","")</f>
        <v/>
      </c>
      <c r="BE13" s="548" t="str">
        <f t="shared" si="0"/>
        <v/>
      </c>
      <c r="BF13" s="515"/>
      <c r="BG13" s="515"/>
      <c r="BH13" s="634" t="e">
        <f>VLOOKUP(K13,【参考】数式用!$A$2:$O$57,15,FALSE)</f>
        <v>#N/A</v>
      </c>
      <c r="BI13" s="515"/>
      <c r="BJ13" s="515"/>
      <c r="BK13" s="515"/>
      <c r="BL13" s="515"/>
      <c r="BM13" s="515"/>
      <c r="BN13" s="515"/>
      <c r="BO13" s="516"/>
      <c r="BP13" s="517"/>
    </row>
    <row r="14" spans="1:68" s="550" customFormat="1" ht="109.9" customHeight="1" thickBot="1">
      <c r="A14" s="454">
        <v>3</v>
      </c>
      <c r="B14" s="933" t="str">
        <f>IF(基本情報入力シート!B42="","",基本情報入力シート!B42)</f>
        <v/>
      </c>
      <c r="C14" s="934"/>
      <c r="D14" s="934"/>
      <c r="E14" s="934"/>
      <c r="F14" s="935"/>
      <c r="G14" s="455" t="str">
        <f>IF(基本情報入力シート!L42="", "", 基本情報入力シート!L42)</f>
        <v/>
      </c>
      <c r="H14" s="455" t="str">
        <f>IF(基本情報入力シート!Q42="", "", 基本情報入力シート!Q42)</f>
        <v/>
      </c>
      <c r="I14" s="455" t="str">
        <f>IF(基本情報入力シート!V42="", "", 基本情報入力シート!V42)</f>
        <v/>
      </c>
      <c r="J14" s="455" t="str">
        <f>IF(基本情報入力シート!W42="", "", 基本情報入力シート!W42)</f>
        <v/>
      </c>
      <c r="K14" s="455" t="str">
        <f>IF(基本情報入力シート!Z42="", "", 基本情報入力シート!Z42)</f>
        <v/>
      </c>
      <c r="L14" s="101" t="str">
        <f>IF(基本情報入力シート!AF42=0, "",基本情報入力シート!AF42)</f>
        <v/>
      </c>
      <c r="M14" s="142" t="str">
        <f>IF(基本情報入力シート!AG42="","",基本情報入力シート!AG42)</f>
        <v/>
      </c>
      <c r="N14" s="136"/>
      <c r="O14" s="155" t="str">
        <f>IFERROR(VLOOKUP(K14,【参考】数式用!$A$2:$F$57,MATCH(N14,【参考】数式用!$C$3:$F$3,0)+2,0),"")</f>
        <v/>
      </c>
      <c r="P14" s="456" t="s">
        <v>180</v>
      </c>
      <c r="Q14" s="141"/>
      <c r="R14" s="457" t="s">
        <v>271</v>
      </c>
      <c r="S14" s="141"/>
      <c r="T14" s="457" t="s">
        <v>272</v>
      </c>
      <c r="U14" s="141"/>
      <c r="V14" s="457" t="s">
        <v>271</v>
      </c>
      <c r="W14" s="141"/>
      <c r="X14" s="457" t="s">
        <v>273</v>
      </c>
      <c r="Y14" s="457" t="s">
        <v>274</v>
      </c>
      <c r="Z14" s="457" t="str">
        <f t="shared" ref="Z14:Z78" si="16">IF(Q14&gt;=1,(U14*12+W14)-(Q14*12+S14)+1,"")</f>
        <v/>
      </c>
      <c r="AA14" s="458" t="s">
        <v>275</v>
      </c>
      <c r="AB14" s="459" t="str">
        <f>IFERROR(ROUNDDOWN(ROUND(L14*O14,0)*M14,0)*Z14,"")</f>
        <v/>
      </c>
      <c r="AC14" s="460" t="str">
        <f>IFERROR(ROUNDDOWN(ROUNDDOWN(ROUND(L14*VLOOKUP(K14,【参考】数式用!$A$4:$F$57,MATCH("処遇改善加算Ⅳ",【参考】数式用!$C$3:$F$3,0)+2,0),0)*M14,0)*Z14*0.5,0), "")</f>
        <v/>
      </c>
      <c r="AD14" s="156"/>
      <c r="AE14" s="157"/>
      <c r="AF14" s="157"/>
      <c r="AG14" s="158"/>
      <c r="AH14" s="159"/>
      <c r="AI14" s="161"/>
      <c r="AJ14" s="161"/>
      <c r="AK14" s="542" t="str">
        <f t="shared" si="1"/>
        <v/>
      </c>
      <c r="AL14" s="543" t="str">
        <f t="shared" si="2"/>
        <v/>
      </c>
      <c r="AM14" s="544"/>
      <c r="AN14" s="548" t="str">
        <f>IFERROR(VLOOKUP(K14,【参考】数式用!$A$2:$N$57,14,FALSE),"")</f>
        <v/>
      </c>
      <c r="AO14" s="548" t="str">
        <f t="shared" si="3"/>
        <v/>
      </c>
      <c r="AP14" s="547" t="str">
        <f t="shared" si="4"/>
        <v/>
      </c>
      <c r="AQ14" s="547" t="str">
        <f t="shared" si="5"/>
        <v>入力済</v>
      </c>
      <c r="AR14" s="548" t="str">
        <f t="shared" si="6"/>
        <v/>
      </c>
      <c r="AS14" s="547" t="str">
        <f t="shared" si="7"/>
        <v>入力済</v>
      </c>
      <c r="AT14" s="547" t="str">
        <f t="shared" si="8"/>
        <v/>
      </c>
      <c r="AU14" s="547" t="str">
        <f>IF(AND(AN14="加算対象",N14&lt;&gt;"処遇改善加算Ⅲ",N14&lt;&gt;"処遇改善加算Ⅳ", N14&lt;&gt;"", AT14&lt;&gt;"対象外"), 1,"")</f>
        <v/>
      </c>
      <c r="AV14" s="548" t="str">
        <f t="shared" si="10"/>
        <v/>
      </c>
      <c r="AW14" s="548" t="str">
        <f t="shared" si="11"/>
        <v>入力済</v>
      </c>
      <c r="AX14" s="547" t="str">
        <f>IFERROR(VLOOKUP(K14,【参考】数式用!$AR$3:$AS$49,2, FALSE), "")</f>
        <v/>
      </c>
      <c r="AY14" s="548" t="str">
        <f t="shared" si="12"/>
        <v/>
      </c>
      <c r="AZ14" s="548" t="str">
        <f t="shared" si="13"/>
        <v>入力済</v>
      </c>
      <c r="BA14" s="547" t="str">
        <f>IFERROR(VLOOKUP(K14,【参考】数式用!$AX$3:$AY$56, 2, FALSE), "")</f>
        <v/>
      </c>
      <c r="BB14" s="548" t="str">
        <f t="shared" si="14"/>
        <v/>
      </c>
      <c r="BC14" s="648" t="str">
        <f t="shared" si="15"/>
        <v>入力済</v>
      </c>
      <c r="BD14" s="548" t="str">
        <f t="shared" ref="BD14:BD77" si="17">IF(BB14="AJ列に色付け","入力必要","")</f>
        <v/>
      </c>
      <c r="BE14" s="548" t="str">
        <f t="shared" si="0"/>
        <v/>
      </c>
      <c r="BF14" s="515"/>
      <c r="BG14" s="515"/>
      <c r="BH14" s="634" t="e">
        <f>VLOOKUP(K14,【参考】数式用!$A$2:$O$57,15,FALSE)</f>
        <v>#N/A</v>
      </c>
      <c r="BI14" s="515"/>
      <c r="BJ14" s="515"/>
      <c r="BK14" s="515"/>
      <c r="BL14" s="515"/>
      <c r="BM14" s="515"/>
      <c r="BN14" s="515"/>
      <c r="BO14" s="516"/>
      <c r="BP14" s="517"/>
    </row>
    <row r="15" spans="1:68" s="550" customFormat="1" ht="109.9" customHeight="1" thickBot="1">
      <c r="A15" s="454">
        <v>4</v>
      </c>
      <c r="B15" s="933" t="str">
        <f>IF(基本情報入力シート!B43="","",基本情報入力シート!B43)</f>
        <v/>
      </c>
      <c r="C15" s="934"/>
      <c r="D15" s="934"/>
      <c r="E15" s="934"/>
      <c r="F15" s="935"/>
      <c r="G15" s="455" t="str">
        <f>IF(基本情報入力シート!L43="", "", 基本情報入力シート!L43)</f>
        <v/>
      </c>
      <c r="H15" s="455" t="str">
        <f>IF(基本情報入力シート!Q43="", "", 基本情報入力シート!Q43)</f>
        <v/>
      </c>
      <c r="I15" s="455" t="str">
        <f>IF(基本情報入力シート!V43="", "", 基本情報入力シート!V43)</f>
        <v/>
      </c>
      <c r="J15" s="455" t="str">
        <f>IF(基本情報入力シート!W43="", "", 基本情報入力シート!W43)</f>
        <v/>
      </c>
      <c r="K15" s="455" t="str">
        <f>IF(基本情報入力シート!Z43="", "", 基本情報入力シート!Z43)</f>
        <v/>
      </c>
      <c r="L15" s="101" t="str">
        <f>IF(基本情報入力シート!AF43=0, "",基本情報入力シート!AF43)</f>
        <v/>
      </c>
      <c r="M15" s="142" t="str">
        <f>IF(基本情報入力シート!AG43="","",基本情報入力シート!AG43)</f>
        <v/>
      </c>
      <c r="N15" s="136"/>
      <c r="O15" s="155" t="str">
        <f>IFERROR(VLOOKUP(K15,【参考】数式用!$A$2:$F$57,MATCH(N15,【参考】数式用!$C$3:$F$3,0)+2,0),"")</f>
        <v/>
      </c>
      <c r="P15" s="456" t="s">
        <v>180</v>
      </c>
      <c r="Q15" s="141"/>
      <c r="R15" s="457" t="s">
        <v>271</v>
      </c>
      <c r="S15" s="141"/>
      <c r="T15" s="457" t="s">
        <v>272</v>
      </c>
      <c r="U15" s="141"/>
      <c r="V15" s="457" t="s">
        <v>271</v>
      </c>
      <c r="W15" s="141"/>
      <c r="X15" s="457" t="s">
        <v>273</v>
      </c>
      <c r="Y15" s="457" t="s">
        <v>274</v>
      </c>
      <c r="Z15" s="457" t="str">
        <f t="shared" ref="Z15" si="18">IF(Q15&gt;=1,(U15*12+W15)-(Q15*12+S15)+1,"")</f>
        <v/>
      </c>
      <c r="AA15" s="458" t="s">
        <v>275</v>
      </c>
      <c r="AB15" s="459" t="str">
        <f>IFERROR(ROUNDDOWN(ROUND(L15*O15,0)*M15,0)*Z15,"")</f>
        <v/>
      </c>
      <c r="AC15" s="460" t="str">
        <f>IFERROR(ROUNDDOWN(ROUNDDOWN(ROUND(L15*VLOOKUP(K15,【参考】数式用!$A$4:$F$57,MATCH("処遇改善加算Ⅳ",【参考】数式用!$C$3:$F$3,0)+2,0),0)*M15,0)*Z15*0.5,0), "")</f>
        <v/>
      </c>
      <c r="AD15" s="156"/>
      <c r="AE15" s="157"/>
      <c r="AF15" s="157"/>
      <c r="AG15" s="158"/>
      <c r="AH15" s="159"/>
      <c r="AI15" s="161"/>
      <c r="AJ15" s="161"/>
      <c r="AK15" s="542" t="str">
        <f t="shared" ref="AK15" si="19">IF(AND(N15&lt;&gt;"", OR(U15&lt;&gt;8,W15&lt;&gt;5)),"！算定期間の終わりが令和８年５月になっていません。令和８年６月以降については別シートに記載してください。",
 IF(AND(AN15="加算対象外",N15&lt;&gt;""),"このサービスは、令和８年４月・５月は処遇改善加算の対象ではありません。記入しないでください。",""))</f>
        <v/>
      </c>
      <c r="AL15" s="543" t="str">
        <f t="shared" si="2"/>
        <v/>
      </c>
      <c r="AM15" s="544"/>
      <c r="AN15" s="548" t="str">
        <f>IFERROR(VLOOKUP(K15,【参考】数式用!$A$2:$N$57,14,FALSE),"")</f>
        <v/>
      </c>
      <c r="AO15" s="548" t="str">
        <f t="shared" si="3"/>
        <v/>
      </c>
      <c r="AP15" s="547" t="str">
        <f t="shared" si="4"/>
        <v/>
      </c>
      <c r="AQ15" s="547" t="str">
        <f t="shared" si="5"/>
        <v>入力済</v>
      </c>
      <c r="AR15" s="548" t="str">
        <f t="shared" si="6"/>
        <v/>
      </c>
      <c r="AS15" s="547" t="str">
        <f t="shared" si="7"/>
        <v>入力済</v>
      </c>
      <c r="AT15" s="547" t="str">
        <f t="shared" ref="AT15" si="20">IF(OR(N15="処遇改善加算Ⅰ",N15="処遇改善加算Ⅱ"),"対象","")</f>
        <v/>
      </c>
      <c r="AU15" s="547" t="str">
        <f>IF(AND(AN15="加算対象",N15&lt;&gt;"処遇改善加算Ⅲ",N15&lt;&gt;"処遇改善加算Ⅳ", N15&lt;&gt;"", AT15&lt;&gt;"対象外"), 1,"")</f>
        <v/>
      </c>
      <c r="AV15" s="548" t="str">
        <f t="shared" ref="AV15" si="21">IF(AND(AU15=1, OR(AG15=0,AG15=""),AN15="加算対象"),"AH列に色付け","")</f>
        <v/>
      </c>
      <c r="AW15" s="548" t="str">
        <f t="shared" si="11"/>
        <v>入力済</v>
      </c>
      <c r="AX15" s="547" t="str">
        <f>IFERROR(VLOOKUP(K15,【参考】数式用!$AR$3:$AS$49,2, FALSE), "")</f>
        <v/>
      </c>
      <c r="AY15" s="548" t="str">
        <f t="shared" si="12"/>
        <v/>
      </c>
      <c r="AZ15" s="548" t="str">
        <f t="shared" ref="AZ15" si="22">IF(AND(N15="処遇改善加算Ⅰ", AI15=""), "未入力","入力済")</f>
        <v>入力済</v>
      </c>
      <c r="BA15" s="547" t="str">
        <f>IFERROR(VLOOKUP(K15,【参考】数式用!$AX$3:$AY$56, 2, FALSE), "")</f>
        <v/>
      </c>
      <c r="BB15" s="548" t="str">
        <f t="shared" si="14"/>
        <v/>
      </c>
      <c r="BC15" s="648" t="str">
        <f t="shared" si="15"/>
        <v>入力済</v>
      </c>
      <c r="BD15" s="548" t="str">
        <f t="shared" si="17"/>
        <v/>
      </c>
      <c r="BE15" s="548" t="str">
        <f t="shared" si="0"/>
        <v/>
      </c>
      <c r="BF15" s="515"/>
      <c r="BG15" s="515"/>
      <c r="BH15" s="634" t="e">
        <f>VLOOKUP(K15,【参考】数式用!$A$2:$O$57,15,FALSE)</f>
        <v>#N/A</v>
      </c>
      <c r="BI15" s="515"/>
      <c r="BJ15" s="515"/>
      <c r="BK15" s="515"/>
      <c r="BL15" s="515"/>
      <c r="BM15" s="515"/>
      <c r="BN15" s="515"/>
      <c r="BO15" s="516"/>
      <c r="BP15" s="517"/>
    </row>
    <row r="16" spans="1:68" s="550" customFormat="1" ht="109.9" customHeight="1" thickBot="1">
      <c r="A16" s="454">
        <v>5</v>
      </c>
      <c r="B16" s="933" t="str">
        <f>IF(基本情報入力シート!B44="","",基本情報入力シート!B44)</f>
        <v/>
      </c>
      <c r="C16" s="934"/>
      <c r="D16" s="934"/>
      <c r="E16" s="934"/>
      <c r="F16" s="935"/>
      <c r="G16" s="455" t="str">
        <f>IF(基本情報入力シート!L44="", "", 基本情報入力シート!L44)</f>
        <v/>
      </c>
      <c r="H16" s="455" t="str">
        <f>IF(基本情報入力シート!Q44="", "", 基本情報入力シート!Q44)</f>
        <v/>
      </c>
      <c r="I16" s="455" t="str">
        <f>IF(基本情報入力シート!V44="", "", 基本情報入力シート!V44)</f>
        <v/>
      </c>
      <c r="J16" s="455" t="str">
        <f>IF(基本情報入力シート!W44="", "", 基本情報入力シート!W44)</f>
        <v/>
      </c>
      <c r="K16" s="455" t="str">
        <f>IF(基本情報入力シート!Z44="", "", 基本情報入力シート!Z44)</f>
        <v/>
      </c>
      <c r="L16" s="101" t="str">
        <f>IF(基本情報入力シート!AF44=0, "",基本情報入力シート!AF44)</f>
        <v/>
      </c>
      <c r="M16" s="142" t="str">
        <f>IF(基本情報入力シート!AG44="","",基本情報入力シート!AG44)</f>
        <v/>
      </c>
      <c r="N16" s="136"/>
      <c r="O16" s="155" t="str">
        <f>IFERROR(VLOOKUP(K16,【参考】数式用!$A$2:$F$57,MATCH(N16,【参考】数式用!$C$3:$F$3,0)+2,0),"")</f>
        <v/>
      </c>
      <c r="P16" s="456" t="s">
        <v>180</v>
      </c>
      <c r="Q16" s="141"/>
      <c r="R16" s="457" t="s">
        <v>271</v>
      </c>
      <c r="S16" s="141"/>
      <c r="T16" s="457" t="s">
        <v>272</v>
      </c>
      <c r="U16" s="141"/>
      <c r="V16" s="457" t="s">
        <v>271</v>
      </c>
      <c r="W16" s="141"/>
      <c r="X16" s="457" t="s">
        <v>182</v>
      </c>
      <c r="Y16" s="457" t="s">
        <v>274</v>
      </c>
      <c r="Z16" s="457" t="str">
        <f t="shared" si="16"/>
        <v/>
      </c>
      <c r="AA16" s="458" t="s">
        <v>275</v>
      </c>
      <c r="AB16" s="459" t="str">
        <f t="shared" ref="AB16:AB78" si="23">IFERROR(ROUNDDOWN(ROUND(L16*O16,0)*M16,0)*Z16,"")</f>
        <v/>
      </c>
      <c r="AC16" s="460" t="str">
        <f>IFERROR(ROUNDDOWN(ROUNDDOWN(ROUND(L16*VLOOKUP(K16,【参考】数式用!$A$4:$F$57,MATCH("処遇改善加算Ⅳ",【参考】数式用!$C$3:$F$3,0)+2,0),0)*M16,0)*Z16*0.5,0), "")</f>
        <v/>
      </c>
      <c r="AD16" s="156"/>
      <c r="AE16" s="157"/>
      <c r="AF16" s="157"/>
      <c r="AG16" s="158"/>
      <c r="AH16" s="159"/>
      <c r="AI16" s="161"/>
      <c r="AJ16" s="161"/>
      <c r="AK16" s="542" t="str">
        <f t="shared" si="1"/>
        <v/>
      </c>
      <c r="AL16" s="543" t="str">
        <f t="shared" si="2"/>
        <v/>
      </c>
      <c r="AM16" s="544"/>
      <c r="AN16" s="548" t="str">
        <f>IFERROR(VLOOKUP(K16,【参考】数式用!$A$2:$N$57,14,FALSE),"")</f>
        <v/>
      </c>
      <c r="AO16" s="548" t="str">
        <f t="shared" si="3"/>
        <v/>
      </c>
      <c r="AP16" s="547" t="str">
        <f t="shared" si="4"/>
        <v/>
      </c>
      <c r="AQ16" s="547" t="str">
        <f t="shared" si="5"/>
        <v>入力済</v>
      </c>
      <c r="AR16" s="548" t="str">
        <f t="shared" si="6"/>
        <v/>
      </c>
      <c r="AS16" s="547" t="str">
        <f t="shared" si="7"/>
        <v>入力済</v>
      </c>
      <c r="AT16" s="547" t="str">
        <f t="shared" si="8"/>
        <v/>
      </c>
      <c r="AU16" s="547" t="str">
        <f>IF(AND(AN16="加算対象",N16&lt;&gt;"処遇改善加算Ⅲ",N16&lt;&gt;"処遇改善加算Ⅳ", N16&lt;&gt;"", AT16&lt;&gt;"対象外"), 1,"")</f>
        <v/>
      </c>
      <c r="AV16" s="548" t="str">
        <f t="shared" si="10"/>
        <v/>
      </c>
      <c r="AW16" s="548" t="str">
        <f t="shared" si="11"/>
        <v>入力済</v>
      </c>
      <c r="AX16" s="547" t="str">
        <f>IFERROR(VLOOKUP(K16,【参考】数式用!$AR$3:$AS$49,2, FALSE), "")</f>
        <v/>
      </c>
      <c r="AY16" s="548" t="str">
        <f t="shared" si="12"/>
        <v/>
      </c>
      <c r="AZ16" s="548" t="str">
        <f t="shared" si="13"/>
        <v>入力済</v>
      </c>
      <c r="BA16" s="547" t="str">
        <f>IFERROR(VLOOKUP(K16,【参考】数式用!$AX$3:$AY$56, 2, FALSE), "")</f>
        <v/>
      </c>
      <c r="BB16" s="548" t="str">
        <f t="shared" si="14"/>
        <v/>
      </c>
      <c r="BC16" s="648" t="str">
        <f t="shared" si="15"/>
        <v>入力済</v>
      </c>
      <c r="BD16" s="548" t="str">
        <f t="shared" si="17"/>
        <v/>
      </c>
      <c r="BE16" s="548" t="str">
        <f t="shared" si="0"/>
        <v/>
      </c>
      <c r="BF16" s="515"/>
      <c r="BG16" s="515"/>
      <c r="BH16" s="634" t="e">
        <f>VLOOKUP(K16,【参考】数式用!$A$2:$O$57,15,FALSE)</f>
        <v>#N/A</v>
      </c>
      <c r="BI16" s="515"/>
      <c r="BJ16" s="515"/>
      <c r="BK16" s="515"/>
      <c r="BL16" s="515"/>
      <c r="BM16" s="515"/>
      <c r="BN16" s="515"/>
      <c r="BO16" s="516"/>
      <c r="BP16" s="517"/>
    </row>
    <row r="17" spans="1:60" s="550" customFormat="1" ht="109.9" customHeight="1" thickBot="1">
      <c r="A17" s="454">
        <v>6</v>
      </c>
      <c r="B17" s="933" t="str">
        <f>IF(基本情報入力シート!B45="","",基本情報入力シート!B45)</f>
        <v/>
      </c>
      <c r="C17" s="934"/>
      <c r="D17" s="934"/>
      <c r="E17" s="934"/>
      <c r="F17" s="935"/>
      <c r="G17" s="455" t="str">
        <f>IF(基本情報入力シート!L45="", "", 基本情報入力シート!L45)</f>
        <v/>
      </c>
      <c r="H17" s="455" t="str">
        <f>IF(基本情報入力シート!Q45="", "", 基本情報入力シート!Q45)</f>
        <v/>
      </c>
      <c r="I17" s="455" t="str">
        <f>IF(基本情報入力シート!V45="", "", 基本情報入力シート!V45)</f>
        <v/>
      </c>
      <c r="J17" s="455" t="str">
        <f>IF(基本情報入力シート!W45="", "", 基本情報入力シート!W45)</f>
        <v/>
      </c>
      <c r="K17" s="455" t="str">
        <f>IF(基本情報入力シート!Z45="", "", 基本情報入力シート!Z45)</f>
        <v/>
      </c>
      <c r="L17" s="101" t="str">
        <f>IF(基本情報入力シート!AF45=0, "",基本情報入力シート!AF45)</f>
        <v/>
      </c>
      <c r="M17" s="142" t="str">
        <f>IF(基本情報入力シート!AG45="","",基本情報入力シート!AG45)</f>
        <v/>
      </c>
      <c r="N17" s="136"/>
      <c r="O17" s="155" t="str">
        <f>IFERROR(VLOOKUP(K17,【参考】数式用!$A$2:$F$57,MATCH(N17,【参考】数式用!$C$3:$F$3,0)+2,0),"")</f>
        <v/>
      </c>
      <c r="P17" s="456" t="s">
        <v>180</v>
      </c>
      <c r="Q17" s="141"/>
      <c r="R17" s="457" t="s">
        <v>271</v>
      </c>
      <c r="S17" s="141"/>
      <c r="T17" s="457" t="s">
        <v>272</v>
      </c>
      <c r="U17" s="141"/>
      <c r="V17" s="457" t="s">
        <v>271</v>
      </c>
      <c r="W17" s="141"/>
      <c r="X17" s="457" t="s">
        <v>182</v>
      </c>
      <c r="Y17" s="457" t="s">
        <v>274</v>
      </c>
      <c r="Z17" s="457" t="str">
        <f t="shared" si="16"/>
        <v/>
      </c>
      <c r="AA17" s="458" t="s">
        <v>275</v>
      </c>
      <c r="AB17" s="459" t="str">
        <f t="shared" si="23"/>
        <v/>
      </c>
      <c r="AC17" s="460" t="str">
        <f>IFERROR(ROUNDDOWN(ROUNDDOWN(ROUND(L17*VLOOKUP(K17,【参考】数式用!$A$4:$F$57,MATCH("処遇改善加算Ⅳ",【参考】数式用!$C$3:$F$3,0)+2,0),0)*M17,0)*Z17*0.5,0), "")</f>
        <v/>
      </c>
      <c r="AD17" s="156"/>
      <c r="AE17" s="157"/>
      <c r="AF17" s="157"/>
      <c r="AG17" s="158"/>
      <c r="AH17" s="159"/>
      <c r="AI17" s="161"/>
      <c r="AJ17" s="161"/>
      <c r="AK17" s="542" t="str">
        <f t="shared" si="1"/>
        <v/>
      </c>
      <c r="AL17" s="543" t="str">
        <f t="shared" si="2"/>
        <v/>
      </c>
      <c r="AM17" s="544"/>
      <c r="AN17" s="548" t="str">
        <f>IFERROR(VLOOKUP(K17,【参考】数式用!$A$2:$N$57,14,FALSE),"")</f>
        <v/>
      </c>
      <c r="AO17" s="548" t="str">
        <f t="shared" si="3"/>
        <v/>
      </c>
      <c r="AP17" s="547" t="str">
        <f t="shared" si="4"/>
        <v/>
      </c>
      <c r="AQ17" s="547" t="str">
        <f t="shared" si="5"/>
        <v>入力済</v>
      </c>
      <c r="AR17" s="548" t="str">
        <f t="shared" si="6"/>
        <v/>
      </c>
      <c r="AS17" s="547" t="str">
        <f t="shared" si="7"/>
        <v>入力済</v>
      </c>
      <c r="AT17" s="547" t="str">
        <f t="shared" si="8"/>
        <v/>
      </c>
      <c r="AU17" s="547" t="str">
        <f t="shared" ref="AU17:AU77" si="24">IF(AND(AN17="加算対象",N17&lt;&gt;"処遇改善加算Ⅲ",N17&lt;&gt;"処遇改善加算Ⅳ", N17&lt;&gt;"", AT17&lt;&gt;"対象外"), 1,"")</f>
        <v/>
      </c>
      <c r="AV17" s="548" t="str">
        <f t="shared" si="10"/>
        <v/>
      </c>
      <c r="AW17" s="548" t="str">
        <f t="shared" si="11"/>
        <v>入力済</v>
      </c>
      <c r="AX17" s="547" t="str">
        <f>IFERROR(VLOOKUP(K17,【参考】数式用!$AR$3:$AS$49,2, FALSE), "")</f>
        <v/>
      </c>
      <c r="AY17" s="548" t="str">
        <f t="shared" si="12"/>
        <v/>
      </c>
      <c r="AZ17" s="548" t="str">
        <f t="shared" si="13"/>
        <v>入力済</v>
      </c>
      <c r="BA17" s="547" t="str">
        <f>IFERROR(VLOOKUP(K17,【参考】数式用!$AX$3:$AY$56, 2, FALSE), "")</f>
        <v/>
      </c>
      <c r="BB17" s="548" t="str">
        <f t="shared" si="14"/>
        <v/>
      </c>
      <c r="BC17" s="648" t="str">
        <f t="shared" si="15"/>
        <v>入力済</v>
      </c>
      <c r="BD17" s="548" t="str">
        <f t="shared" si="17"/>
        <v/>
      </c>
      <c r="BE17" s="548" t="str">
        <f t="shared" si="0"/>
        <v/>
      </c>
      <c r="BH17" s="634" t="e">
        <f>VLOOKUP(K17,【参考】数式用!$A$2:$O$57,15,FALSE)</f>
        <v>#N/A</v>
      </c>
    </row>
    <row r="18" spans="1:60" s="550" customFormat="1" ht="109.9" customHeight="1" thickBot="1">
      <c r="A18" s="454">
        <v>7</v>
      </c>
      <c r="B18" s="933" t="str">
        <f>IF(基本情報入力シート!B46="","",基本情報入力シート!B46)</f>
        <v/>
      </c>
      <c r="C18" s="934"/>
      <c r="D18" s="934"/>
      <c r="E18" s="934"/>
      <c r="F18" s="935"/>
      <c r="G18" s="455" t="str">
        <f>IF(基本情報入力シート!L46="", "", 基本情報入力シート!L46)</f>
        <v/>
      </c>
      <c r="H18" s="455" t="str">
        <f>IF(基本情報入力シート!Q46="", "", 基本情報入力シート!Q46)</f>
        <v/>
      </c>
      <c r="I18" s="455" t="str">
        <f>IF(基本情報入力シート!V46="", "", 基本情報入力シート!V46)</f>
        <v/>
      </c>
      <c r="J18" s="455" t="str">
        <f>IF(基本情報入力シート!W46="", "", 基本情報入力シート!W46)</f>
        <v/>
      </c>
      <c r="K18" s="455" t="str">
        <f>IF(基本情報入力シート!Z46="", "", 基本情報入力シート!Z46)</f>
        <v/>
      </c>
      <c r="L18" s="101" t="str">
        <f>IF(基本情報入力シート!AF46=0, "",基本情報入力シート!AF46)</f>
        <v/>
      </c>
      <c r="M18" s="142" t="str">
        <f>IF(基本情報入力シート!AG46="","",基本情報入力シート!AG46)</f>
        <v/>
      </c>
      <c r="N18" s="136"/>
      <c r="O18" s="155" t="str">
        <f>IFERROR(VLOOKUP(K18,【参考】数式用!$A$2:$F$57,MATCH(N18,【参考】数式用!$C$3:$F$3,0)+2,0),"")</f>
        <v/>
      </c>
      <c r="P18" s="456" t="s">
        <v>180</v>
      </c>
      <c r="Q18" s="141"/>
      <c r="R18" s="457" t="s">
        <v>271</v>
      </c>
      <c r="S18" s="141"/>
      <c r="T18" s="457" t="s">
        <v>272</v>
      </c>
      <c r="U18" s="141"/>
      <c r="V18" s="457" t="s">
        <v>271</v>
      </c>
      <c r="W18" s="141"/>
      <c r="X18" s="457" t="s">
        <v>273</v>
      </c>
      <c r="Y18" s="457" t="s">
        <v>274</v>
      </c>
      <c r="Z18" s="457" t="str">
        <f t="shared" si="16"/>
        <v/>
      </c>
      <c r="AA18" s="458" t="s">
        <v>275</v>
      </c>
      <c r="AB18" s="459" t="str">
        <f t="shared" si="23"/>
        <v/>
      </c>
      <c r="AC18" s="460" t="str">
        <f>IFERROR(ROUNDDOWN(ROUNDDOWN(ROUND(L18*VLOOKUP(K18,【参考】数式用!$A$4:$F$57,MATCH("処遇改善加算Ⅳ",【参考】数式用!$C$3:$F$3,0)+2,0),0)*M18,0)*Z18*0.5,0), "")</f>
        <v/>
      </c>
      <c r="AD18" s="156"/>
      <c r="AE18" s="157"/>
      <c r="AF18" s="157"/>
      <c r="AG18" s="158"/>
      <c r="AH18" s="159"/>
      <c r="AI18" s="161"/>
      <c r="AJ18" s="161"/>
      <c r="AK18" s="542" t="str">
        <f t="shared" si="1"/>
        <v/>
      </c>
      <c r="AL18" s="543" t="str">
        <f t="shared" si="2"/>
        <v/>
      </c>
      <c r="AM18" s="544"/>
      <c r="AN18" s="548" t="str">
        <f>IFERROR(VLOOKUP(K18,【参考】数式用!$A$2:$N$57,14,FALSE),"")</f>
        <v/>
      </c>
      <c r="AO18" s="548" t="str">
        <f t="shared" si="3"/>
        <v/>
      </c>
      <c r="AP18" s="547" t="str">
        <f t="shared" si="4"/>
        <v/>
      </c>
      <c r="AQ18" s="547" t="str">
        <f t="shared" si="5"/>
        <v>入力済</v>
      </c>
      <c r="AR18" s="548" t="str">
        <f t="shared" si="6"/>
        <v/>
      </c>
      <c r="AS18" s="547" t="str">
        <f t="shared" si="7"/>
        <v>入力済</v>
      </c>
      <c r="AT18" s="547" t="str">
        <f t="shared" si="8"/>
        <v/>
      </c>
      <c r="AU18" s="547" t="str">
        <f t="shared" si="24"/>
        <v/>
      </c>
      <c r="AV18" s="548" t="str">
        <f t="shared" si="10"/>
        <v/>
      </c>
      <c r="AW18" s="548" t="str">
        <f t="shared" si="11"/>
        <v>入力済</v>
      </c>
      <c r="AX18" s="547" t="str">
        <f>IFERROR(VLOOKUP(K18,【参考】数式用!$AR$3:$AS$49,2, FALSE), "")</f>
        <v/>
      </c>
      <c r="AY18" s="548" t="str">
        <f t="shared" si="12"/>
        <v/>
      </c>
      <c r="AZ18" s="548" t="str">
        <f t="shared" si="13"/>
        <v>入力済</v>
      </c>
      <c r="BA18" s="547" t="str">
        <f>IFERROR(VLOOKUP(K18,【参考】数式用!$AX$3:$AY$56, 2, FALSE), "")</f>
        <v/>
      </c>
      <c r="BB18" s="548" t="str">
        <f t="shared" si="14"/>
        <v/>
      </c>
      <c r="BC18" s="648" t="str">
        <f t="shared" si="15"/>
        <v>入力済</v>
      </c>
      <c r="BD18" s="548" t="str">
        <f t="shared" si="17"/>
        <v/>
      </c>
      <c r="BE18" s="548" t="str">
        <f t="shared" si="0"/>
        <v/>
      </c>
      <c r="BH18" s="634" t="e">
        <f>VLOOKUP(K18,【参考】数式用!$A$2:$O$57,15,FALSE)</f>
        <v>#N/A</v>
      </c>
    </row>
    <row r="19" spans="1:60" s="550" customFormat="1" ht="109.9" customHeight="1" thickBot="1">
      <c r="A19" s="454">
        <v>8</v>
      </c>
      <c r="B19" s="933" t="str">
        <f>IF(基本情報入力シート!B47="","",基本情報入力シート!B47)</f>
        <v/>
      </c>
      <c r="C19" s="934"/>
      <c r="D19" s="934"/>
      <c r="E19" s="934"/>
      <c r="F19" s="935"/>
      <c r="G19" s="455" t="str">
        <f>IF(基本情報入力シート!L47="", "", 基本情報入力シート!L47)</f>
        <v/>
      </c>
      <c r="H19" s="455" t="str">
        <f>IF(基本情報入力シート!Q47="", "", 基本情報入力シート!Q47)</f>
        <v/>
      </c>
      <c r="I19" s="455" t="str">
        <f>IF(基本情報入力シート!V47="", "", 基本情報入力シート!V47)</f>
        <v/>
      </c>
      <c r="J19" s="455" t="str">
        <f>IF(基本情報入力シート!W47="", "", 基本情報入力シート!W47)</f>
        <v/>
      </c>
      <c r="K19" s="455" t="str">
        <f>IF(基本情報入力シート!Z47="", "", 基本情報入力シート!Z47)</f>
        <v/>
      </c>
      <c r="L19" s="101" t="str">
        <f>IF(基本情報入力シート!AF47=0, "",基本情報入力シート!AF47)</f>
        <v/>
      </c>
      <c r="M19" s="142" t="str">
        <f>IF(基本情報入力シート!AG47="","",基本情報入力シート!AG47)</f>
        <v/>
      </c>
      <c r="N19" s="136"/>
      <c r="O19" s="155" t="str">
        <f>IFERROR(VLOOKUP(K19,【参考】数式用!$A$2:$F$57,MATCH(N19,【参考】数式用!$C$3:$F$3,0)+2,0),"")</f>
        <v/>
      </c>
      <c r="P19" s="456" t="s">
        <v>180</v>
      </c>
      <c r="Q19" s="141"/>
      <c r="R19" s="457" t="s">
        <v>271</v>
      </c>
      <c r="S19" s="141"/>
      <c r="T19" s="457" t="s">
        <v>272</v>
      </c>
      <c r="U19" s="141"/>
      <c r="V19" s="457" t="s">
        <v>271</v>
      </c>
      <c r="W19" s="141"/>
      <c r="X19" s="457" t="s">
        <v>273</v>
      </c>
      <c r="Y19" s="457" t="s">
        <v>274</v>
      </c>
      <c r="Z19" s="457" t="str">
        <f t="shared" si="16"/>
        <v/>
      </c>
      <c r="AA19" s="458" t="s">
        <v>275</v>
      </c>
      <c r="AB19" s="459" t="str">
        <f t="shared" si="23"/>
        <v/>
      </c>
      <c r="AC19" s="460" t="str">
        <f>IFERROR(ROUNDDOWN(ROUNDDOWN(ROUND(L19*VLOOKUP(K19,【参考】数式用!$A$4:$F$57,MATCH("処遇改善加算Ⅳ",【参考】数式用!$C$3:$F$3,0)+2,0),0)*M19,0)*Z19*0.5,0), "")</f>
        <v/>
      </c>
      <c r="AD19" s="156"/>
      <c r="AE19" s="157"/>
      <c r="AF19" s="157"/>
      <c r="AG19" s="158"/>
      <c r="AH19" s="159"/>
      <c r="AI19" s="161"/>
      <c r="AJ19" s="161"/>
      <c r="AK19" s="542" t="str">
        <f t="shared" si="1"/>
        <v/>
      </c>
      <c r="AL19" s="543" t="str">
        <f t="shared" si="2"/>
        <v/>
      </c>
      <c r="AM19" s="544"/>
      <c r="AN19" s="548" t="str">
        <f>IFERROR(VLOOKUP(K19,【参考】数式用!$A$2:$N$57,14,FALSE),"")</f>
        <v/>
      </c>
      <c r="AO19" s="548" t="str">
        <f t="shared" si="3"/>
        <v/>
      </c>
      <c r="AP19" s="547" t="str">
        <f t="shared" si="4"/>
        <v/>
      </c>
      <c r="AQ19" s="547" t="str">
        <f t="shared" si="5"/>
        <v>入力済</v>
      </c>
      <c r="AR19" s="548" t="str">
        <f t="shared" si="6"/>
        <v/>
      </c>
      <c r="AS19" s="547" t="str">
        <f t="shared" si="7"/>
        <v>入力済</v>
      </c>
      <c r="AT19" s="547" t="str">
        <f t="shared" si="8"/>
        <v/>
      </c>
      <c r="AU19" s="547" t="str">
        <f t="shared" si="24"/>
        <v/>
      </c>
      <c r="AV19" s="548" t="str">
        <f t="shared" si="10"/>
        <v/>
      </c>
      <c r="AW19" s="548" t="str">
        <f t="shared" si="11"/>
        <v>入力済</v>
      </c>
      <c r="AX19" s="547" t="str">
        <f>IFERROR(VLOOKUP(K19,【参考】数式用!$AR$3:$AS$49,2, FALSE), "")</f>
        <v/>
      </c>
      <c r="AY19" s="548" t="str">
        <f t="shared" si="12"/>
        <v/>
      </c>
      <c r="AZ19" s="548" t="str">
        <f t="shared" si="13"/>
        <v>入力済</v>
      </c>
      <c r="BA19" s="547" t="str">
        <f>IFERROR(VLOOKUP(K19,【参考】数式用!$AX$3:$AY$56, 2, FALSE), "")</f>
        <v/>
      </c>
      <c r="BB19" s="548" t="str">
        <f t="shared" si="14"/>
        <v/>
      </c>
      <c r="BC19" s="648" t="str">
        <f t="shared" si="15"/>
        <v>入力済</v>
      </c>
      <c r="BD19" s="548" t="str">
        <f t="shared" si="17"/>
        <v/>
      </c>
      <c r="BE19" s="548" t="str">
        <f t="shared" si="0"/>
        <v/>
      </c>
      <c r="BH19" s="634" t="e">
        <f>VLOOKUP(K19,【参考】数式用!$A$2:$O$57,15,FALSE)</f>
        <v>#N/A</v>
      </c>
    </row>
    <row r="20" spans="1:60" s="550" customFormat="1" ht="109.9" customHeight="1" thickBot="1">
      <c r="A20" s="454">
        <v>9</v>
      </c>
      <c r="B20" s="933" t="str">
        <f>IF(基本情報入力シート!B48="","",基本情報入力シート!B48)</f>
        <v/>
      </c>
      <c r="C20" s="934"/>
      <c r="D20" s="934"/>
      <c r="E20" s="934"/>
      <c r="F20" s="935"/>
      <c r="G20" s="455" t="str">
        <f>IF(基本情報入力シート!L48="", "", 基本情報入力シート!L48)</f>
        <v/>
      </c>
      <c r="H20" s="455" t="str">
        <f>IF(基本情報入力シート!Q48="", "", 基本情報入力シート!Q48)</f>
        <v/>
      </c>
      <c r="I20" s="455" t="str">
        <f>IF(基本情報入力シート!V48="", "", 基本情報入力シート!V48)</f>
        <v/>
      </c>
      <c r="J20" s="455" t="str">
        <f>IF(基本情報入力シート!W48="", "", 基本情報入力シート!W48)</f>
        <v/>
      </c>
      <c r="K20" s="455" t="str">
        <f>IF(基本情報入力シート!Z48="", "", 基本情報入力シート!Z48)</f>
        <v/>
      </c>
      <c r="L20" s="101" t="str">
        <f>IF(基本情報入力シート!AF48=0, "",基本情報入力シート!AF48)</f>
        <v/>
      </c>
      <c r="M20" s="142" t="str">
        <f>IF(基本情報入力シート!AG48="","",基本情報入力シート!AG48)</f>
        <v/>
      </c>
      <c r="N20" s="136"/>
      <c r="O20" s="155" t="str">
        <f>IFERROR(VLOOKUP(K20,【参考】数式用!$A$2:$F$57,MATCH(N20,【参考】数式用!$C$3:$F$3,0)+2,0),"")</f>
        <v/>
      </c>
      <c r="P20" s="456" t="s">
        <v>180</v>
      </c>
      <c r="Q20" s="141"/>
      <c r="R20" s="457" t="s">
        <v>271</v>
      </c>
      <c r="S20" s="141"/>
      <c r="T20" s="457" t="s">
        <v>272</v>
      </c>
      <c r="U20" s="141"/>
      <c r="V20" s="457" t="s">
        <v>271</v>
      </c>
      <c r="W20" s="141"/>
      <c r="X20" s="457" t="s">
        <v>273</v>
      </c>
      <c r="Y20" s="457" t="s">
        <v>274</v>
      </c>
      <c r="Z20" s="457" t="str">
        <f t="shared" si="16"/>
        <v/>
      </c>
      <c r="AA20" s="458" t="s">
        <v>275</v>
      </c>
      <c r="AB20" s="459" t="str">
        <f t="shared" si="23"/>
        <v/>
      </c>
      <c r="AC20" s="460" t="str">
        <f>IFERROR(ROUNDDOWN(ROUNDDOWN(ROUND(L20*VLOOKUP(K20,【参考】数式用!$A$4:$F$57,MATCH("処遇改善加算Ⅳ",【参考】数式用!$C$3:$F$3,0)+2,0),0)*M20,0)*Z20*0.5,0), "")</f>
        <v/>
      </c>
      <c r="AD20" s="156"/>
      <c r="AE20" s="157"/>
      <c r="AF20" s="157"/>
      <c r="AG20" s="158"/>
      <c r="AH20" s="159"/>
      <c r="AI20" s="161"/>
      <c r="AJ20" s="161"/>
      <c r="AK20" s="542" t="str">
        <f t="shared" si="1"/>
        <v/>
      </c>
      <c r="AL20" s="543" t="str">
        <f t="shared" si="2"/>
        <v/>
      </c>
      <c r="AM20" s="544"/>
      <c r="AN20" s="548" t="str">
        <f>IFERROR(VLOOKUP(K20,【参考】数式用!$A$2:$N$57,14,FALSE),"")</f>
        <v/>
      </c>
      <c r="AO20" s="548" t="str">
        <f t="shared" si="3"/>
        <v/>
      </c>
      <c r="AP20" s="547" t="str">
        <f t="shared" si="4"/>
        <v/>
      </c>
      <c r="AQ20" s="547" t="str">
        <f t="shared" si="5"/>
        <v>入力済</v>
      </c>
      <c r="AR20" s="548" t="str">
        <f t="shared" si="6"/>
        <v/>
      </c>
      <c r="AS20" s="547" t="str">
        <f t="shared" si="7"/>
        <v>入力済</v>
      </c>
      <c r="AT20" s="547" t="str">
        <f t="shared" si="8"/>
        <v/>
      </c>
      <c r="AU20" s="547" t="str">
        <f t="shared" si="24"/>
        <v/>
      </c>
      <c r="AV20" s="548" t="str">
        <f t="shared" si="10"/>
        <v/>
      </c>
      <c r="AW20" s="548" t="str">
        <f t="shared" si="11"/>
        <v>入力済</v>
      </c>
      <c r="AX20" s="547" t="str">
        <f>IFERROR(VLOOKUP(K20,【参考】数式用!$AR$3:$AS$49,2, FALSE), "")</f>
        <v/>
      </c>
      <c r="AY20" s="548" t="str">
        <f t="shared" si="12"/>
        <v/>
      </c>
      <c r="AZ20" s="548" t="str">
        <f t="shared" si="13"/>
        <v>入力済</v>
      </c>
      <c r="BA20" s="547" t="str">
        <f>IFERROR(VLOOKUP(K20,【参考】数式用!$AX$3:$AY$56, 2, FALSE), "")</f>
        <v/>
      </c>
      <c r="BB20" s="548" t="str">
        <f t="shared" si="14"/>
        <v/>
      </c>
      <c r="BC20" s="648" t="str">
        <f t="shared" si="15"/>
        <v>入力済</v>
      </c>
      <c r="BD20" s="548" t="str">
        <f t="shared" si="17"/>
        <v/>
      </c>
      <c r="BE20" s="548" t="str">
        <f t="shared" si="0"/>
        <v/>
      </c>
      <c r="BH20" s="634" t="e">
        <f>VLOOKUP(K20,【参考】数式用!$A$2:$O$57,15,FALSE)</f>
        <v>#N/A</v>
      </c>
    </row>
    <row r="21" spans="1:60" s="550" customFormat="1" ht="109.9" customHeight="1" thickBot="1">
      <c r="A21" s="454">
        <v>10</v>
      </c>
      <c r="B21" s="933" t="str">
        <f>IF(基本情報入力シート!B49="","",基本情報入力シート!B49)</f>
        <v/>
      </c>
      <c r="C21" s="934"/>
      <c r="D21" s="934"/>
      <c r="E21" s="934"/>
      <c r="F21" s="935"/>
      <c r="G21" s="455" t="str">
        <f>IF(基本情報入力シート!L49="", "", 基本情報入力シート!L49)</f>
        <v/>
      </c>
      <c r="H21" s="455" t="str">
        <f>IF(基本情報入力シート!Q49="", "", 基本情報入力シート!Q49)</f>
        <v/>
      </c>
      <c r="I21" s="455" t="str">
        <f>IF(基本情報入力シート!V49="", "", 基本情報入力シート!V49)</f>
        <v/>
      </c>
      <c r="J21" s="455" t="str">
        <f>IF(基本情報入力シート!W49="", "", 基本情報入力シート!W49)</f>
        <v/>
      </c>
      <c r="K21" s="455" t="str">
        <f>IF(基本情報入力シート!Z49="", "", 基本情報入力シート!Z49)</f>
        <v/>
      </c>
      <c r="L21" s="101" t="str">
        <f>IF(基本情報入力シート!AF49=0, "",基本情報入力シート!AF49)</f>
        <v/>
      </c>
      <c r="M21" s="142" t="str">
        <f>IF(基本情報入力シート!AG49="","",基本情報入力シート!AG49)</f>
        <v/>
      </c>
      <c r="N21" s="136"/>
      <c r="O21" s="155" t="str">
        <f>IFERROR(VLOOKUP(K21,【参考】数式用!$A$2:$F$57,MATCH(N21,【参考】数式用!$C$3:$F$3,0)+2,0),"")</f>
        <v/>
      </c>
      <c r="P21" s="456" t="s">
        <v>180</v>
      </c>
      <c r="Q21" s="141"/>
      <c r="R21" s="457" t="s">
        <v>271</v>
      </c>
      <c r="S21" s="141"/>
      <c r="T21" s="457" t="s">
        <v>272</v>
      </c>
      <c r="U21" s="141"/>
      <c r="V21" s="457" t="s">
        <v>271</v>
      </c>
      <c r="W21" s="141"/>
      <c r="X21" s="457" t="s">
        <v>182</v>
      </c>
      <c r="Y21" s="457" t="s">
        <v>274</v>
      </c>
      <c r="Z21" s="457" t="str">
        <f t="shared" si="16"/>
        <v/>
      </c>
      <c r="AA21" s="458" t="s">
        <v>275</v>
      </c>
      <c r="AB21" s="459" t="str">
        <f t="shared" si="23"/>
        <v/>
      </c>
      <c r="AC21" s="460" t="str">
        <f>IFERROR(ROUNDDOWN(ROUNDDOWN(ROUND(L21*VLOOKUP(K21,【参考】数式用!$A$4:$F$57,MATCH("処遇改善加算Ⅳ",【参考】数式用!$C$3:$F$3,0)+2,0),0)*M21,0)*Z21*0.5,0), "")</f>
        <v/>
      </c>
      <c r="AD21" s="156"/>
      <c r="AE21" s="157"/>
      <c r="AF21" s="157"/>
      <c r="AG21" s="158"/>
      <c r="AH21" s="159"/>
      <c r="AI21" s="161"/>
      <c r="AJ21" s="161"/>
      <c r="AK21" s="542" t="str">
        <f t="shared" si="1"/>
        <v/>
      </c>
      <c r="AL21" s="543" t="str">
        <f t="shared" si="2"/>
        <v/>
      </c>
      <c r="AM21" s="544"/>
      <c r="AN21" s="548" t="str">
        <f>IFERROR(VLOOKUP(K21,【参考】数式用!$A$2:$N$57,14,FALSE),"")</f>
        <v/>
      </c>
      <c r="AO21" s="548" t="str">
        <f t="shared" si="3"/>
        <v/>
      </c>
      <c r="AP21" s="547" t="str">
        <f t="shared" si="4"/>
        <v/>
      </c>
      <c r="AQ21" s="547" t="str">
        <f t="shared" si="5"/>
        <v>入力済</v>
      </c>
      <c r="AR21" s="548" t="str">
        <f t="shared" si="6"/>
        <v/>
      </c>
      <c r="AS21" s="547" t="str">
        <f t="shared" si="7"/>
        <v>入力済</v>
      </c>
      <c r="AT21" s="547" t="str">
        <f t="shared" si="8"/>
        <v/>
      </c>
      <c r="AU21" s="547" t="str">
        <f t="shared" si="24"/>
        <v/>
      </c>
      <c r="AV21" s="548" t="str">
        <f t="shared" si="10"/>
        <v/>
      </c>
      <c r="AW21" s="548" t="str">
        <f t="shared" si="11"/>
        <v>入力済</v>
      </c>
      <c r="AX21" s="547" t="str">
        <f>IFERROR(VLOOKUP(K21,【参考】数式用!$AR$3:$AS$49,2, FALSE), "")</f>
        <v/>
      </c>
      <c r="AY21" s="548" t="str">
        <f t="shared" si="12"/>
        <v/>
      </c>
      <c r="AZ21" s="548" t="str">
        <f t="shared" si="13"/>
        <v>入力済</v>
      </c>
      <c r="BA21" s="547" t="str">
        <f>IFERROR(VLOOKUP(K21,【参考】数式用!$AX$3:$AY$56, 2, FALSE), "")</f>
        <v/>
      </c>
      <c r="BB21" s="548" t="str">
        <f t="shared" si="14"/>
        <v/>
      </c>
      <c r="BC21" s="648" t="str">
        <f t="shared" si="15"/>
        <v>入力済</v>
      </c>
      <c r="BD21" s="548" t="str">
        <f t="shared" si="17"/>
        <v/>
      </c>
      <c r="BE21" s="548" t="str">
        <f t="shared" si="0"/>
        <v/>
      </c>
      <c r="BH21" s="634" t="e">
        <f>VLOOKUP(K21,【参考】数式用!$A$2:$O$57,15,FALSE)</f>
        <v>#N/A</v>
      </c>
    </row>
    <row r="22" spans="1:60" s="550" customFormat="1" ht="109.9" customHeight="1" thickBot="1">
      <c r="A22" s="454">
        <v>11</v>
      </c>
      <c r="B22" s="933" t="str">
        <f>IF(基本情報入力シート!B50="","",基本情報入力シート!B50)</f>
        <v/>
      </c>
      <c r="C22" s="934"/>
      <c r="D22" s="934"/>
      <c r="E22" s="934"/>
      <c r="F22" s="935"/>
      <c r="G22" s="455" t="str">
        <f>IF(基本情報入力シート!L50="", "", 基本情報入力シート!L50)</f>
        <v/>
      </c>
      <c r="H22" s="455" t="str">
        <f>IF(基本情報入力シート!Q50="", "", 基本情報入力シート!Q50)</f>
        <v/>
      </c>
      <c r="I22" s="455" t="str">
        <f>IF(基本情報入力シート!V50="", "", 基本情報入力シート!V50)</f>
        <v/>
      </c>
      <c r="J22" s="455" t="str">
        <f>IF(基本情報入力シート!W50="", "", 基本情報入力シート!W50)</f>
        <v/>
      </c>
      <c r="K22" s="455" t="str">
        <f>IF(基本情報入力シート!Z50="", "", 基本情報入力シート!Z50)</f>
        <v/>
      </c>
      <c r="L22" s="101" t="str">
        <f>IF(基本情報入力シート!AF50=0, "",基本情報入力シート!AF50)</f>
        <v/>
      </c>
      <c r="M22" s="142" t="str">
        <f>IF(基本情報入力シート!AG50="","",基本情報入力シート!AG50)</f>
        <v/>
      </c>
      <c r="N22" s="136"/>
      <c r="O22" s="155" t="str">
        <f>IFERROR(VLOOKUP(K22,【参考】数式用!$A$2:$F$57,MATCH(N22,【参考】数式用!$C$3:$F$3,0)+2,0),"")</f>
        <v/>
      </c>
      <c r="P22" s="456" t="s">
        <v>180</v>
      </c>
      <c r="Q22" s="141"/>
      <c r="R22" s="457" t="s">
        <v>271</v>
      </c>
      <c r="S22" s="141"/>
      <c r="T22" s="457" t="s">
        <v>272</v>
      </c>
      <c r="U22" s="141"/>
      <c r="V22" s="457" t="s">
        <v>271</v>
      </c>
      <c r="W22" s="141"/>
      <c r="X22" s="457" t="s">
        <v>273</v>
      </c>
      <c r="Y22" s="457" t="s">
        <v>274</v>
      </c>
      <c r="Z22" s="457" t="str">
        <f t="shared" si="16"/>
        <v/>
      </c>
      <c r="AA22" s="458" t="s">
        <v>275</v>
      </c>
      <c r="AB22" s="459" t="str">
        <f t="shared" si="23"/>
        <v/>
      </c>
      <c r="AC22" s="460" t="str">
        <f>IFERROR(ROUNDDOWN(ROUNDDOWN(ROUND(L22*VLOOKUP(K22,【参考】数式用!$A$4:$F$57,MATCH("処遇改善加算Ⅳ",【参考】数式用!$C$3:$F$3,0)+2,0),0)*M22,0)*Z22*0.5,0), "")</f>
        <v/>
      </c>
      <c r="AD22" s="156"/>
      <c r="AE22" s="157"/>
      <c r="AF22" s="157"/>
      <c r="AG22" s="158"/>
      <c r="AH22" s="159"/>
      <c r="AI22" s="161"/>
      <c r="AJ22" s="161"/>
      <c r="AK22" s="542" t="str">
        <f t="shared" si="1"/>
        <v/>
      </c>
      <c r="AL22" s="543" t="str">
        <f t="shared" si="2"/>
        <v/>
      </c>
      <c r="AM22" s="544"/>
      <c r="AN22" s="548" t="str">
        <f>IFERROR(VLOOKUP(K22,【参考】数式用!$A$2:$N$57,14,FALSE),"")</f>
        <v/>
      </c>
      <c r="AO22" s="548" t="str">
        <f t="shared" si="3"/>
        <v/>
      </c>
      <c r="AP22" s="547" t="str">
        <f t="shared" si="4"/>
        <v/>
      </c>
      <c r="AQ22" s="547" t="str">
        <f t="shared" si="5"/>
        <v>入力済</v>
      </c>
      <c r="AR22" s="548" t="str">
        <f t="shared" si="6"/>
        <v/>
      </c>
      <c r="AS22" s="547" t="str">
        <f t="shared" si="7"/>
        <v>入力済</v>
      </c>
      <c r="AT22" s="547" t="str">
        <f t="shared" si="8"/>
        <v/>
      </c>
      <c r="AU22" s="547" t="str">
        <f t="shared" si="24"/>
        <v/>
      </c>
      <c r="AV22" s="548" t="str">
        <f t="shared" si="10"/>
        <v/>
      </c>
      <c r="AW22" s="548" t="str">
        <f t="shared" si="11"/>
        <v>入力済</v>
      </c>
      <c r="AX22" s="547" t="str">
        <f>IFERROR(VLOOKUP(K22,【参考】数式用!$AR$3:$AS$49,2, FALSE), "")</f>
        <v/>
      </c>
      <c r="AY22" s="548" t="str">
        <f t="shared" si="12"/>
        <v/>
      </c>
      <c r="AZ22" s="548" t="str">
        <f t="shared" si="13"/>
        <v>入力済</v>
      </c>
      <c r="BA22" s="547" t="str">
        <f>IFERROR(VLOOKUP(K22,【参考】数式用!$AX$3:$AY$56, 2, FALSE), "")</f>
        <v/>
      </c>
      <c r="BB22" s="548" t="str">
        <f t="shared" si="14"/>
        <v/>
      </c>
      <c r="BC22" s="648" t="str">
        <f t="shared" si="15"/>
        <v>入力済</v>
      </c>
      <c r="BD22" s="548" t="str">
        <f t="shared" si="17"/>
        <v/>
      </c>
      <c r="BE22" s="548" t="str">
        <f t="shared" si="0"/>
        <v/>
      </c>
      <c r="BH22" s="634" t="e">
        <f>VLOOKUP(K22,【参考】数式用!$A$2:$O$57,15,FALSE)</f>
        <v>#N/A</v>
      </c>
    </row>
    <row r="23" spans="1:60" s="550" customFormat="1" ht="109.9" customHeight="1" thickBot="1">
      <c r="A23" s="454">
        <v>12</v>
      </c>
      <c r="B23" s="933" t="str">
        <f>IF(基本情報入力シート!B51="","",基本情報入力シート!B51)</f>
        <v/>
      </c>
      <c r="C23" s="934"/>
      <c r="D23" s="934"/>
      <c r="E23" s="934"/>
      <c r="F23" s="935"/>
      <c r="G23" s="455" t="str">
        <f>IF(基本情報入力シート!L51="", "", 基本情報入力シート!L51)</f>
        <v/>
      </c>
      <c r="H23" s="455" t="str">
        <f>IF(基本情報入力シート!Q51="", "", 基本情報入力シート!Q51)</f>
        <v/>
      </c>
      <c r="I23" s="455" t="str">
        <f>IF(基本情報入力シート!V51="", "", 基本情報入力シート!V51)</f>
        <v/>
      </c>
      <c r="J23" s="455" t="str">
        <f>IF(基本情報入力シート!W51="", "", 基本情報入力シート!W51)</f>
        <v/>
      </c>
      <c r="K23" s="455" t="str">
        <f>IF(基本情報入力シート!Z51="", "", 基本情報入力シート!Z51)</f>
        <v/>
      </c>
      <c r="L23" s="101" t="str">
        <f>IF(基本情報入力シート!AF51=0, "",基本情報入力シート!AF51)</f>
        <v/>
      </c>
      <c r="M23" s="142" t="str">
        <f>IF(基本情報入力シート!AG51="","",基本情報入力シート!AG51)</f>
        <v/>
      </c>
      <c r="N23" s="136"/>
      <c r="O23" s="155" t="str">
        <f>IFERROR(VLOOKUP(K23,【参考】数式用!$A$2:$F$57,MATCH(N23,【参考】数式用!$C$3:$F$3,0)+2,0),"")</f>
        <v/>
      </c>
      <c r="P23" s="456" t="s">
        <v>180</v>
      </c>
      <c r="Q23" s="141"/>
      <c r="R23" s="457" t="s">
        <v>271</v>
      </c>
      <c r="S23" s="141"/>
      <c r="T23" s="457" t="s">
        <v>272</v>
      </c>
      <c r="U23" s="141"/>
      <c r="V23" s="457" t="s">
        <v>271</v>
      </c>
      <c r="W23" s="141"/>
      <c r="X23" s="457" t="s">
        <v>273</v>
      </c>
      <c r="Y23" s="457" t="s">
        <v>274</v>
      </c>
      <c r="Z23" s="457" t="str">
        <f t="shared" si="16"/>
        <v/>
      </c>
      <c r="AA23" s="458" t="s">
        <v>275</v>
      </c>
      <c r="AB23" s="459" t="str">
        <f t="shared" si="23"/>
        <v/>
      </c>
      <c r="AC23" s="460" t="str">
        <f>IFERROR(ROUNDDOWN(ROUNDDOWN(ROUND(L23*VLOOKUP(K23,【参考】数式用!$A$4:$F$57,MATCH("処遇改善加算Ⅳ",【参考】数式用!$C$3:$F$3,0)+2,0),0)*M23,0)*Z23*0.5,0), "")</f>
        <v/>
      </c>
      <c r="AD23" s="156"/>
      <c r="AE23" s="157"/>
      <c r="AF23" s="157"/>
      <c r="AG23" s="158"/>
      <c r="AH23" s="159"/>
      <c r="AI23" s="161"/>
      <c r="AJ23" s="161"/>
      <c r="AK23" s="542" t="str">
        <f t="shared" si="1"/>
        <v/>
      </c>
      <c r="AL23" s="543" t="str">
        <f t="shared" si="2"/>
        <v/>
      </c>
      <c r="AM23" s="544"/>
      <c r="AN23" s="548" t="str">
        <f>IFERROR(VLOOKUP(K23,【参考】数式用!$A$2:$N$57,14,FALSE),"")</f>
        <v/>
      </c>
      <c r="AO23" s="548" t="str">
        <f t="shared" si="3"/>
        <v/>
      </c>
      <c r="AP23" s="547" t="str">
        <f t="shared" si="4"/>
        <v/>
      </c>
      <c r="AQ23" s="547" t="str">
        <f t="shared" si="5"/>
        <v>入力済</v>
      </c>
      <c r="AR23" s="548" t="str">
        <f t="shared" si="6"/>
        <v/>
      </c>
      <c r="AS23" s="547" t="str">
        <f t="shared" si="7"/>
        <v>入力済</v>
      </c>
      <c r="AT23" s="547" t="str">
        <f t="shared" si="8"/>
        <v/>
      </c>
      <c r="AU23" s="547" t="str">
        <f t="shared" si="24"/>
        <v/>
      </c>
      <c r="AV23" s="548" t="str">
        <f t="shared" si="10"/>
        <v/>
      </c>
      <c r="AW23" s="548" t="str">
        <f t="shared" si="11"/>
        <v>入力済</v>
      </c>
      <c r="AX23" s="547" t="str">
        <f>IFERROR(VLOOKUP(K23,【参考】数式用!$AR$3:$AS$49,2, FALSE), "")</f>
        <v/>
      </c>
      <c r="AY23" s="548" t="str">
        <f t="shared" si="12"/>
        <v/>
      </c>
      <c r="AZ23" s="548" t="str">
        <f t="shared" si="13"/>
        <v>入力済</v>
      </c>
      <c r="BA23" s="547" t="str">
        <f>IFERROR(VLOOKUP(K23,【参考】数式用!$AX$3:$AY$56, 2, FALSE), "")</f>
        <v/>
      </c>
      <c r="BB23" s="548" t="str">
        <f t="shared" si="14"/>
        <v/>
      </c>
      <c r="BC23" s="648" t="str">
        <f t="shared" si="15"/>
        <v>入力済</v>
      </c>
      <c r="BD23" s="548" t="str">
        <f t="shared" si="17"/>
        <v/>
      </c>
      <c r="BE23" s="548" t="str">
        <f t="shared" si="0"/>
        <v/>
      </c>
      <c r="BH23" s="634" t="e">
        <f>VLOOKUP(K23,【参考】数式用!$A$2:$O$57,15,FALSE)</f>
        <v>#N/A</v>
      </c>
    </row>
    <row r="24" spans="1:60" s="550" customFormat="1" ht="109.9" customHeight="1" thickBot="1">
      <c r="A24" s="454">
        <v>13</v>
      </c>
      <c r="B24" s="933" t="str">
        <f>IF(基本情報入力シート!B52="","",基本情報入力シート!B52)</f>
        <v/>
      </c>
      <c r="C24" s="934"/>
      <c r="D24" s="934"/>
      <c r="E24" s="934"/>
      <c r="F24" s="935"/>
      <c r="G24" s="455" t="str">
        <f>IF(基本情報入力シート!L52="", "", 基本情報入力シート!L52)</f>
        <v/>
      </c>
      <c r="H24" s="455" t="str">
        <f>IF(基本情報入力シート!Q52="", "", 基本情報入力シート!Q52)</f>
        <v/>
      </c>
      <c r="I24" s="455" t="str">
        <f>IF(基本情報入力シート!V52="", "", 基本情報入力シート!V52)</f>
        <v/>
      </c>
      <c r="J24" s="455" t="str">
        <f>IF(基本情報入力シート!W52="", "", 基本情報入力シート!W52)</f>
        <v/>
      </c>
      <c r="K24" s="455" t="str">
        <f>IF(基本情報入力シート!Z52="", "", 基本情報入力シート!Z52)</f>
        <v/>
      </c>
      <c r="L24" s="101" t="str">
        <f>IF(基本情報入力シート!AF52=0, "",基本情報入力シート!AF52)</f>
        <v/>
      </c>
      <c r="M24" s="142" t="str">
        <f>IF(基本情報入力シート!AG52="","",基本情報入力シート!AG52)</f>
        <v/>
      </c>
      <c r="N24" s="136"/>
      <c r="O24" s="155" t="str">
        <f>IFERROR(VLOOKUP(K24,【参考】数式用!$A$2:$F$57,MATCH(N24,【参考】数式用!$C$3:$F$3,0)+2,0),"")</f>
        <v/>
      </c>
      <c r="P24" s="456" t="s">
        <v>180</v>
      </c>
      <c r="Q24" s="141"/>
      <c r="R24" s="457" t="s">
        <v>271</v>
      </c>
      <c r="S24" s="141"/>
      <c r="T24" s="457" t="s">
        <v>272</v>
      </c>
      <c r="U24" s="141"/>
      <c r="V24" s="457" t="s">
        <v>271</v>
      </c>
      <c r="W24" s="141"/>
      <c r="X24" s="457" t="s">
        <v>273</v>
      </c>
      <c r="Y24" s="457" t="s">
        <v>274</v>
      </c>
      <c r="Z24" s="457" t="str">
        <f t="shared" si="16"/>
        <v/>
      </c>
      <c r="AA24" s="458" t="s">
        <v>275</v>
      </c>
      <c r="AB24" s="459" t="str">
        <f t="shared" si="23"/>
        <v/>
      </c>
      <c r="AC24" s="460" t="str">
        <f>IFERROR(ROUNDDOWN(ROUNDDOWN(ROUND(L24*VLOOKUP(K24,【参考】数式用!$A$4:$F$57,MATCH("処遇改善加算Ⅳ",【参考】数式用!$C$3:$F$3,0)+2,0),0)*M24,0)*Z24*0.5,0), "")</f>
        <v/>
      </c>
      <c r="AD24" s="156"/>
      <c r="AE24" s="157"/>
      <c r="AF24" s="157"/>
      <c r="AG24" s="158"/>
      <c r="AH24" s="159"/>
      <c r="AI24" s="161"/>
      <c r="AJ24" s="161"/>
      <c r="AK24" s="542" t="str">
        <f t="shared" si="1"/>
        <v/>
      </c>
      <c r="AL24" s="543" t="str">
        <f>IF(OR(N24="",AN24="加算対象外"),"",IF(OR(AND(COUNTIF(AP24,"未入力")&gt;0,AD24=""),AND(COUNTIF(AQ24,"未入力")&gt;0,AE24=""),AND(COUNTIF(AN24:BE24,"AF列に色付け")&gt;0,AF24=""),AND(COUNTIF(AN24:BE24,"AG列に色付け")&gt;0,OR(AG24="",AG24=0)),AND(COUNTIF(AN24:BE24,"AH列に色付け")&gt;0,AH24=""),AND(COUNTIF(AN24:BE24,"AI列に色付け")&gt;0,AI24=""),AND(COUNTIF(AN24:BE24,"AJ列に色付け")&gt;0,AJ24="")),"！記入が必要な欄（オレンジ色のセル）に空欄があります。空欄を埋めてください。",""))</f>
        <v/>
      </c>
      <c r="AM24" s="544"/>
      <c r="AN24" s="548" t="str">
        <f>IFERROR(VLOOKUP(K24,【参考】数式用!$A$2:$N$57,14,FALSE),"")</f>
        <v/>
      </c>
      <c r="AO24" s="548" t="str">
        <f t="shared" si="3"/>
        <v/>
      </c>
      <c r="AP24" s="547" t="str">
        <f t="shared" si="4"/>
        <v/>
      </c>
      <c r="AQ24" s="547" t="str">
        <f t="shared" si="5"/>
        <v>入力済</v>
      </c>
      <c r="AR24" s="548" t="str">
        <f t="shared" si="6"/>
        <v/>
      </c>
      <c r="AS24" s="547" t="str">
        <f t="shared" si="7"/>
        <v>入力済</v>
      </c>
      <c r="AT24" s="547" t="str">
        <f t="shared" si="8"/>
        <v/>
      </c>
      <c r="AU24" s="547" t="str">
        <f t="shared" si="24"/>
        <v/>
      </c>
      <c r="AV24" s="548" t="str">
        <f t="shared" si="10"/>
        <v/>
      </c>
      <c r="AW24" s="548" t="str">
        <f t="shared" si="11"/>
        <v>入力済</v>
      </c>
      <c r="AX24" s="547" t="str">
        <f>IFERROR(VLOOKUP(K24,【参考】数式用!$AR$3:$AS$49,2, FALSE), "")</f>
        <v/>
      </c>
      <c r="AY24" s="548" t="str">
        <f t="shared" si="12"/>
        <v/>
      </c>
      <c r="AZ24" s="548" t="str">
        <f>IF(AND(N24="処遇改善加算Ⅰ", AI24=""), "未入力","入力済")</f>
        <v>入力済</v>
      </c>
      <c r="BA24" s="547" t="str">
        <f>IFERROR(VLOOKUP(K24,【参考】数式用!$AX$3:$AY$56, 2, FALSE), "")</f>
        <v/>
      </c>
      <c r="BB24" s="548" t="str">
        <f t="shared" si="14"/>
        <v/>
      </c>
      <c r="BC24" s="648" t="str">
        <f t="shared" si="15"/>
        <v>入力済</v>
      </c>
      <c r="BD24" s="548" t="str">
        <f t="shared" si="17"/>
        <v/>
      </c>
      <c r="BE24" s="548" t="str">
        <f t="shared" si="0"/>
        <v/>
      </c>
      <c r="BH24" s="634" t="e">
        <f>VLOOKUP(K24,【参考】数式用!$A$2:$O$57,15,FALSE)</f>
        <v>#N/A</v>
      </c>
    </row>
    <row r="25" spans="1:60" s="550" customFormat="1" ht="109.9" customHeight="1" thickBot="1">
      <c r="A25" s="454">
        <v>14</v>
      </c>
      <c r="B25" s="933" t="str">
        <f>IF(基本情報入力シート!B53="","",基本情報入力シート!B53)</f>
        <v/>
      </c>
      <c r="C25" s="934"/>
      <c r="D25" s="934"/>
      <c r="E25" s="934"/>
      <c r="F25" s="935"/>
      <c r="G25" s="455" t="str">
        <f>IF(基本情報入力シート!L53="", "", 基本情報入力シート!L53)</f>
        <v/>
      </c>
      <c r="H25" s="455" t="str">
        <f>IF(基本情報入力シート!Q53="", "", 基本情報入力シート!Q53)</f>
        <v/>
      </c>
      <c r="I25" s="455" t="str">
        <f>IF(基本情報入力シート!V53="", "", 基本情報入力シート!V53)</f>
        <v/>
      </c>
      <c r="J25" s="455" t="str">
        <f>IF(基本情報入力シート!W53="", "", 基本情報入力シート!W53)</f>
        <v/>
      </c>
      <c r="K25" s="455" t="str">
        <f>IF(基本情報入力シート!Z53="", "", 基本情報入力シート!Z53)</f>
        <v/>
      </c>
      <c r="L25" s="101" t="str">
        <f>IF(基本情報入力シート!AF53=0, "",基本情報入力シート!AF53)</f>
        <v/>
      </c>
      <c r="M25" s="142" t="str">
        <f>IF(基本情報入力シート!AG53="","",基本情報入力シート!AG53)</f>
        <v/>
      </c>
      <c r="N25" s="136"/>
      <c r="O25" s="155" t="str">
        <f>IFERROR(VLOOKUP(K25,【参考】数式用!$A$2:$F$57,MATCH(N25,【参考】数式用!$C$3:$F$3,0)+2,0),"")</f>
        <v/>
      </c>
      <c r="P25" s="456" t="s">
        <v>180</v>
      </c>
      <c r="Q25" s="141"/>
      <c r="R25" s="457" t="s">
        <v>271</v>
      </c>
      <c r="S25" s="141"/>
      <c r="T25" s="457" t="s">
        <v>272</v>
      </c>
      <c r="U25" s="141"/>
      <c r="V25" s="457" t="s">
        <v>271</v>
      </c>
      <c r="W25" s="141"/>
      <c r="X25" s="457" t="s">
        <v>182</v>
      </c>
      <c r="Y25" s="457" t="s">
        <v>274</v>
      </c>
      <c r="Z25" s="457" t="str">
        <f t="shared" si="16"/>
        <v/>
      </c>
      <c r="AA25" s="458" t="s">
        <v>275</v>
      </c>
      <c r="AB25" s="459" t="str">
        <f t="shared" si="23"/>
        <v/>
      </c>
      <c r="AC25" s="460" t="str">
        <f>IFERROR(ROUNDDOWN(ROUNDDOWN(ROUND(L25*VLOOKUP(K25,【参考】数式用!$A$4:$F$57,MATCH("処遇改善加算Ⅳ",【参考】数式用!$C$3:$F$3,0)+2,0),0)*M25,0)*Z25*0.5,0), "")</f>
        <v/>
      </c>
      <c r="AD25" s="156"/>
      <c r="AE25" s="157"/>
      <c r="AF25" s="157"/>
      <c r="AG25" s="158"/>
      <c r="AH25" s="159"/>
      <c r="AI25" s="161"/>
      <c r="AJ25" s="161"/>
      <c r="AK25" s="542" t="str">
        <f t="shared" si="1"/>
        <v/>
      </c>
      <c r="AL25" s="543" t="str">
        <f t="shared" si="2"/>
        <v/>
      </c>
      <c r="AM25" s="544"/>
      <c r="AN25" s="548" t="str">
        <f>IFERROR(VLOOKUP(K25,【参考】数式用!$A$2:$N$57,14,FALSE),"")</f>
        <v/>
      </c>
      <c r="AO25" s="548" t="str">
        <f t="shared" si="3"/>
        <v/>
      </c>
      <c r="AP25" s="547" t="str">
        <f t="shared" si="4"/>
        <v/>
      </c>
      <c r="AQ25" s="547" t="str">
        <f t="shared" si="5"/>
        <v>入力済</v>
      </c>
      <c r="AR25" s="548" t="str">
        <f t="shared" si="6"/>
        <v/>
      </c>
      <c r="AS25" s="547" t="str">
        <f t="shared" si="7"/>
        <v>入力済</v>
      </c>
      <c r="AT25" s="547" t="str">
        <f t="shared" si="8"/>
        <v/>
      </c>
      <c r="AU25" s="547" t="str">
        <f t="shared" si="24"/>
        <v/>
      </c>
      <c r="AV25" s="548" t="str">
        <f t="shared" si="10"/>
        <v/>
      </c>
      <c r="AW25" s="548" t="str">
        <f t="shared" si="11"/>
        <v>入力済</v>
      </c>
      <c r="AX25" s="547" t="str">
        <f>IFERROR(VLOOKUP(K25,【参考】数式用!$AR$3:$AS$49,2, FALSE), "")</f>
        <v/>
      </c>
      <c r="AY25" s="548" t="str">
        <f t="shared" si="12"/>
        <v/>
      </c>
      <c r="AZ25" s="548" t="str">
        <f t="shared" si="13"/>
        <v>入力済</v>
      </c>
      <c r="BA25" s="547" t="str">
        <f>IFERROR(VLOOKUP(K25,【参考】数式用!$AX$3:$AY$56, 2, FALSE), "")</f>
        <v/>
      </c>
      <c r="BB25" s="548" t="str">
        <f t="shared" si="14"/>
        <v/>
      </c>
      <c r="BC25" s="648" t="str">
        <f t="shared" si="15"/>
        <v>入力済</v>
      </c>
      <c r="BD25" s="548" t="str">
        <f t="shared" si="17"/>
        <v/>
      </c>
      <c r="BE25" s="548" t="str">
        <f t="shared" si="0"/>
        <v/>
      </c>
      <c r="BH25" s="634" t="e">
        <f>VLOOKUP(K25,【参考】数式用!$A$2:$O$57,15,FALSE)</f>
        <v>#N/A</v>
      </c>
    </row>
    <row r="26" spans="1:60" s="550" customFormat="1" ht="109.9" customHeight="1" thickBot="1">
      <c r="A26" s="454">
        <v>15</v>
      </c>
      <c r="B26" s="933" t="str">
        <f>IF(基本情報入力シート!B54="","",基本情報入力シート!B54)</f>
        <v/>
      </c>
      <c r="C26" s="934"/>
      <c r="D26" s="934"/>
      <c r="E26" s="934"/>
      <c r="F26" s="935"/>
      <c r="G26" s="455" t="str">
        <f>IF(基本情報入力シート!L54="", "", 基本情報入力シート!L54)</f>
        <v/>
      </c>
      <c r="H26" s="455" t="str">
        <f>IF(基本情報入力シート!Q54="", "", 基本情報入力シート!Q54)</f>
        <v/>
      </c>
      <c r="I26" s="455" t="str">
        <f>IF(基本情報入力シート!V54="", "", 基本情報入力シート!V54)</f>
        <v/>
      </c>
      <c r="J26" s="455" t="str">
        <f>IF(基本情報入力シート!W54="", "", 基本情報入力シート!W54)</f>
        <v/>
      </c>
      <c r="K26" s="455" t="str">
        <f>IF(基本情報入力シート!Z54="", "", 基本情報入力シート!Z54)</f>
        <v/>
      </c>
      <c r="L26" s="101" t="str">
        <f>IF(基本情報入力シート!AF54=0, "",基本情報入力シート!AF54)</f>
        <v/>
      </c>
      <c r="M26" s="142" t="str">
        <f>IF(基本情報入力シート!AG54="","",基本情報入力シート!AG54)</f>
        <v/>
      </c>
      <c r="N26" s="136"/>
      <c r="O26" s="155" t="str">
        <f>IFERROR(VLOOKUP(K26,【参考】数式用!$A$2:$F$57,MATCH(N26,【参考】数式用!$C$3:$F$3,0)+2,0),"")</f>
        <v/>
      </c>
      <c r="P26" s="456" t="s">
        <v>180</v>
      </c>
      <c r="Q26" s="141"/>
      <c r="R26" s="457" t="s">
        <v>271</v>
      </c>
      <c r="S26" s="141"/>
      <c r="T26" s="457" t="s">
        <v>272</v>
      </c>
      <c r="U26" s="141"/>
      <c r="V26" s="457" t="s">
        <v>271</v>
      </c>
      <c r="W26" s="141"/>
      <c r="X26" s="457" t="s">
        <v>182</v>
      </c>
      <c r="Y26" s="457" t="s">
        <v>274</v>
      </c>
      <c r="Z26" s="457" t="str">
        <f t="shared" si="16"/>
        <v/>
      </c>
      <c r="AA26" s="458" t="s">
        <v>275</v>
      </c>
      <c r="AB26" s="459" t="str">
        <f t="shared" si="23"/>
        <v/>
      </c>
      <c r="AC26" s="460" t="str">
        <f>IFERROR(ROUNDDOWN(ROUNDDOWN(ROUND(L26*VLOOKUP(K26,【参考】数式用!$A$4:$F$57,MATCH("処遇改善加算Ⅳ",【参考】数式用!$C$3:$F$3,0)+2,0),0)*M26,0)*Z26*0.5,0), "")</f>
        <v/>
      </c>
      <c r="AD26" s="156"/>
      <c r="AE26" s="157"/>
      <c r="AF26" s="157"/>
      <c r="AG26" s="158"/>
      <c r="AH26" s="159"/>
      <c r="AI26" s="161"/>
      <c r="AJ26" s="161"/>
      <c r="AK26" s="542" t="str">
        <f t="shared" si="1"/>
        <v/>
      </c>
      <c r="AL26" s="543" t="str">
        <f t="shared" si="2"/>
        <v/>
      </c>
      <c r="AM26" s="544"/>
      <c r="AN26" s="548" t="str">
        <f>IFERROR(VLOOKUP(K26,【参考】数式用!$A$2:$N$57,14,FALSE),"")</f>
        <v/>
      </c>
      <c r="AO26" s="548" t="str">
        <f t="shared" si="3"/>
        <v/>
      </c>
      <c r="AP26" s="547" t="str">
        <f t="shared" si="4"/>
        <v/>
      </c>
      <c r="AQ26" s="547" t="str">
        <f t="shared" si="5"/>
        <v>入力済</v>
      </c>
      <c r="AR26" s="548" t="str">
        <f t="shared" si="6"/>
        <v/>
      </c>
      <c r="AS26" s="547" t="str">
        <f t="shared" si="7"/>
        <v>入力済</v>
      </c>
      <c r="AT26" s="547" t="str">
        <f t="shared" si="8"/>
        <v/>
      </c>
      <c r="AU26" s="547" t="str">
        <f t="shared" si="24"/>
        <v/>
      </c>
      <c r="AV26" s="548" t="str">
        <f t="shared" si="10"/>
        <v/>
      </c>
      <c r="AW26" s="548" t="str">
        <f t="shared" si="11"/>
        <v>入力済</v>
      </c>
      <c r="AX26" s="547" t="str">
        <f>IFERROR(VLOOKUP(K26,【参考】数式用!$AR$3:$AS$49,2, FALSE), "")</f>
        <v/>
      </c>
      <c r="AY26" s="548" t="str">
        <f t="shared" si="12"/>
        <v/>
      </c>
      <c r="AZ26" s="548" t="str">
        <f t="shared" si="13"/>
        <v>入力済</v>
      </c>
      <c r="BA26" s="547" t="str">
        <f>IFERROR(VLOOKUP(K26,【参考】数式用!$AX$3:$AY$56, 2, FALSE), "")</f>
        <v/>
      </c>
      <c r="BB26" s="548" t="str">
        <f t="shared" si="14"/>
        <v/>
      </c>
      <c r="BC26" s="648" t="str">
        <f t="shared" si="15"/>
        <v>入力済</v>
      </c>
      <c r="BD26" s="548" t="str">
        <f t="shared" si="17"/>
        <v/>
      </c>
      <c r="BE26" s="548" t="str">
        <f t="shared" si="0"/>
        <v/>
      </c>
      <c r="BH26" s="634" t="e">
        <f>VLOOKUP(K26,【参考】数式用!$A$2:$O$57,15,FALSE)</f>
        <v>#N/A</v>
      </c>
    </row>
    <row r="27" spans="1:60" s="550" customFormat="1" ht="109.9" customHeight="1" thickBot="1">
      <c r="A27" s="454">
        <v>16</v>
      </c>
      <c r="B27" s="933" t="str">
        <f>IF(基本情報入力シート!B55="","",基本情報入力シート!B55)</f>
        <v/>
      </c>
      <c r="C27" s="934"/>
      <c r="D27" s="934"/>
      <c r="E27" s="934"/>
      <c r="F27" s="935"/>
      <c r="G27" s="455" t="str">
        <f>IF(基本情報入力シート!L55="", "", 基本情報入力シート!L55)</f>
        <v/>
      </c>
      <c r="H27" s="455" t="str">
        <f>IF(基本情報入力シート!Q55="", "", 基本情報入力シート!Q55)</f>
        <v/>
      </c>
      <c r="I27" s="455" t="str">
        <f>IF(基本情報入力シート!V55="", "", 基本情報入力シート!V55)</f>
        <v/>
      </c>
      <c r="J27" s="455" t="str">
        <f>IF(基本情報入力シート!W55="", "", 基本情報入力シート!W55)</f>
        <v/>
      </c>
      <c r="K27" s="455" t="str">
        <f>IF(基本情報入力シート!Z55="", "", 基本情報入力シート!Z55)</f>
        <v/>
      </c>
      <c r="L27" s="101" t="str">
        <f>IF(基本情報入力シート!AF55=0, "",基本情報入力シート!AF55)</f>
        <v/>
      </c>
      <c r="M27" s="142" t="str">
        <f>IF(基本情報入力シート!AG55="","",基本情報入力シート!AG55)</f>
        <v/>
      </c>
      <c r="N27" s="136"/>
      <c r="O27" s="155" t="str">
        <f>IFERROR(VLOOKUP(K27,【参考】数式用!$A$2:$F$57,MATCH(N27,【参考】数式用!$C$3:$F$3,0)+2,0),"")</f>
        <v/>
      </c>
      <c r="P27" s="456" t="s">
        <v>180</v>
      </c>
      <c r="Q27" s="141"/>
      <c r="R27" s="457" t="s">
        <v>271</v>
      </c>
      <c r="S27" s="141"/>
      <c r="T27" s="457" t="s">
        <v>272</v>
      </c>
      <c r="U27" s="141"/>
      <c r="V27" s="457" t="s">
        <v>271</v>
      </c>
      <c r="W27" s="141"/>
      <c r="X27" s="457" t="s">
        <v>273</v>
      </c>
      <c r="Y27" s="457" t="s">
        <v>274</v>
      </c>
      <c r="Z27" s="457" t="str">
        <f t="shared" si="16"/>
        <v/>
      </c>
      <c r="AA27" s="458" t="s">
        <v>275</v>
      </c>
      <c r="AB27" s="459" t="str">
        <f t="shared" si="23"/>
        <v/>
      </c>
      <c r="AC27" s="460" t="str">
        <f>IFERROR(ROUNDDOWN(ROUNDDOWN(ROUND(L27*VLOOKUP(K27,【参考】数式用!$A$4:$F$57,MATCH("処遇改善加算Ⅳ",【参考】数式用!$C$3:$F$3,0)+2,0),0)*M27,0)*Z27*0.5,0), "")</f>
        <v/>
      </c>
      <c r="AD27" s="156"/>
      <c r="AE27" s="157"/>
      <c r="AF27" s="157"/>
      <c r="AG27" s="158"/>
      <c r="AH27" s="159"/>
      <c r="AI27" s="161"/>
      <c r="AJ27" s="161"/>
      <c r="AK27" s="542" t="str">
        <f t="shared" si="1"/>
        <v/>
      </c>
      <c r="AL27" s="543" t="str">
        <f t="shared" si="2"/>
        <v/>
      </c>
      <c r="AM27" s="544"/>
      <c r="AN27" s="548" t="str">
        <f>IFERROR(VLOOKUP(K27,【参考】数式用!$A$2:$N$57,14,FALSE),"")</f>
        <v/>
      </c>
      <c r="AO27" s="548" t="str">
        <f t="shared" si="3"/>
        <v/>
      </c>
      <c r="AP27" s="547" t="str">
        <f t="shared" si="4"/>
        <v/>
      </c>
      <c r="AQ27" s="547" t="str">
        <f t="shared" si="5"/>
        <v>入力済</v>
      </c>
      <c r="AR27" s="548" t="str">
        <f t="shared" si="6"/>
        <v/>
      </c>
      <c r="AS27" s="547" t="str">
        <f t="shared" si="7"/>
        <v>入力済</v>
      </c>
      <c r="AT27" s="547" t="str">
        <f t="shared" si="8"/>
        <v/>
      </c>
      <c r="AU27" s="547" t="str">
        <f t="shared" si="24"/>
        <v/>
      </c>
      <c r="AV27" s="548" t="str">
        <f t="shared" si="10"/>
        <v/>
      </c>
      <c r="AW27" s="548" t="str">
        <f t="shared" si="11"/>
        <v>入力済</v>
      </c>
      <c r="AX27" s="547" t="str">
        <f>IFERROR(VLOOKUP(K27,【参考】数式用!$AR$3:$AS$49,2, FALSE), "")</f>
        <v/>
      </c>
      <c r="AY27" s="548" t="str">
        <f t="shared" si="12"/>
        <v/>
      </c>
      <c r="AZ27" s="548" t="str">
        <f t="shared" si="13"/>
        <v>入力済</v>
      </c>
      <c r="BA27" s="547" t="str">
        <f>IFERROR(VLOOKUP(K27,【参考】数式用!$AX$3:$AY$56, 2, FALSE), "")</f>
        <v/>
      </c>
      <c r="BB27" s="548" t="str">
        <f t="shared" si="14"/>
        <v/>
      </c>
      <c r="BC27" s="648" t="str">
        <f t="shared" si="15"/>
        <v>入力済</v>
      </c>
      <c r="BD27" s="548" t="str">
        <f t="shared" si="17"/>
        <v/>
      </c>
      <c r="BE27" s="548" t="str">
        <f t="shared" si="0"/>
        <v/>
      </c>
      <c r="BH27" s="634" t="e">
        <f>VLOOKUP(K27,【参考】数式用!$A$2:$O$57,15,FALSE)</f>
        <v>#N/A</v>
      </c>
    </row>
    <row r="28" spans="1:60" s="550" customFormat="1" ht="109.9" customHeight="1" thickBot="1">
      <c r="A28" s="454">
        <v>17</v>
      </c>
      <c r="B28" s="933" t="str">
        <f>IF(基本情報入力シート!B56="","",基本情報入力シート!B56)</f>
        <v/>
      </c>
      <c r="C28" s="934"/>
      <c r="D28" s="934"/>
      <c r="E28" s="934"/>
      <c r="F28" s="935"/>
      <c r="G28" s="455" t="str">
        <f>IF(基本情報入力シート!L56="", "", 基本情報入力シート!L56)</f>
        <v/>
      </c>
      <c r="H28" s="455" t="str">
        <f>IF(基本情報入力シート!Q56="", "", 基本情報入力シート!Q56)</f>
        <v/>
      </c>
      <c r="I28" s="455" t="str">
        <f>IF(基本情報入力シート!V56="", "", 基本情報入力シート!V56)</f>
        <v/>
      </c>
      <c r="J28" s="455" t="str">
        <f>IF(基本情報入力シート!W56="", "", 基本情報入力シート!W56)</f>
        <v/>
      </c>
      <c r="K28" s="455" t="str">
        <f>IF(基本情報入力シート!Z56="", "", 基本情報入力シート!Z56)</f>
        <v/>
      </c>
      <c r="L28" s="101" t="str">
        <f>IF(基本情報入力シート!AF56=0, "",基本情報入力シート!AF56)</f>
        <v/>
      </c>
      <c r="M28" s="142" t="str">
        <f>IF(基本情報入力シート!AG56="","",基本情報入力シート!AG56)</f>
        <v/>
      </c>
      <c r="N28" s="136"/>
      <c r="O28" s="155" t="str">
        <f>IFERROR(VLOOKUP(K28,【参考】数式用!$A$2:$F$57,MATCH(N28,【参考】数式用!$C$3:$F$3,0)+2,0),"")</f>
        <v/>
      </c>
      <c r="P28" s="456" t="s">
        <v>180</v>
      </c>
      <c r="Q28" s="141"/>
      <c r="R28" s="457" t="s">
        <v>271</v>
      </c>
      <c r="S28" s="141"/>
      <c r="T28" s="457" t="s">
        <v>272</v>
      </c>
      <c r="U28" s="141"/>
      <c r="V28" s="457" t="s">
        <v>271</v>
      </c>
      <c r="W28" s="141"/>
      <c r="X28" s="457" t="s">
        <v>273</v>
      </c>
      <c r="Y28" s="457" t="s">
        <v>274</v>
      </c>
      <c r="Z28" s="457" t="str">
        <f t="shared" si="16"/>
        <v/>
      </c>
      <c r="AA28" s="458" t="s">
        <v>275</v>
      </c>
      <c r="AB28" s="459" t="str">
        <f t="shared" si="23"/>
        <v/>
      </c>
      <c r="AC28" s="460" t="str">
        <f>IFERROR(ROUNDDOWN(ROUNDDOWN(ROUND(L28*VLOOKUP(K28,【参考】数式用!$A$4:$F$57,MATCH("処遇改善加算Ⅳ",【参考】数式用!$C$3:$F$3,0)+2,0),0)*M28,0)*Z28*0.5,0), "")</f>
        <v/>
      </c>
      <c r="AD28" s="156"/>
      <c r="AE28" s="157"/>
      <c r="AF28" s="157"/>
      <c r="AG28" s="158"/>
      <c r="AH28" s="159"/>
      <c r="AI28" s="161"/>
      <c r="AJ28" s="587"/>
      <c r="AK28" s="542" t="str">
        <f t="shared" si="1"/>
        <v/>
      </c>
      <c r="AL28" s="543" t="str">
        <f t="shared" si="2"/>
        <v/>
      </c>
      <c r="AM28" s="544"/>
      <c r="AN28" s="548" t="str">
        <f>IFERROR(VLOOKUP(K28,【参考】数式用!$A$2:$N$57,14,FALSE),"")</f>
        <v/>
      </c>
      <c r="AO28" s="548" t="str">
        <f t="shared" si="3"/>
        <v/>
      </c>
      <c r="AP28" s="547" t="str">
        <f t="shared" si="4"/>
        <v/>
      </c>
      <c r="AQ28" s="547" t="str">
        <f t="shared" si="5"/>
        <v>入力済</v>
      </c>
      <c r="AR28" s="548" t="str">
        <f t="shared" si="6"/>
        <v/>
      </c>
      <c r="AS28" s="547" t="str">
        <f t="shared" si="7"/>
        <v>入力済</v>
      </c>
      <c r="AT28" s="547" t="str">
        <f t="shared" si="8"/>
        <v/>
      </c>
      <c r="AU28" s="547" t="str">
        <f t="shared" si="24"/>
        <v/>
      </c>
      <c r="AV28" s="548" t="str">
        <f t="shared" si="10"/>
        <v/>
      </c>
      <c r="AW28" s="548" t="str">
        <f t="shared" si="11"/>
        <v>入力済</v>
      </c>
      <c r="AX28" s="547" t="str">
        <f>IFERROR(VLOOKUP(K28,【参考】数式用!$AR$3:$AS$49,2, FALSE), "")</f>
        <v/>
      </c>
      <c r="AY28" s="548" t="str">
        <f t="shared" si="12"/>
        <v/>
      </c>
      <c r="AZ28" s="548" t="str">
        <f t="shared" si="13"/>
        <v>入力済</v>
      </c>
      <c r="BA28" s="547" t="str">
        <f>IFERROR(VLOOKUP(K28,【参考】数式用!$AX$3:$AY$56, 2, FALSE), "")</f>
        <v/>
      </c>
      <c r="BB28" s="548" t="str">
        <f t="shared" si="14"/>
        <v/>
      </c>
      <c r="BC28" s="648" t="str">
        <f t="shared" si="15"/>
        <v>入力済</v>
      </c>
      <c r="BD28" s="548" t="str">
        <f t="shared" si="17"/>
        <v/>
      </c>
      <c r="BE28" s="548" t="str">
        <f t="shared" si="0"/>
        <v/>
      </c>
      <c r="BH28" s="634" t="e">
        <f>VLOOKUP(K28,【参考】数式用!$A$2:$O$57,15,FALSE)</f>
        <v>#N/A</v>
      </c>
    </row>
    <row r="29" spans="1:60" s="550" customFormat="1" ht="109.9" customHeight="1" thickBot="1">
      <c r="A29" s="454">
        <v>18</v>
      </c>
      <c r="B29" s="933" t="str">
        <f>IF(基本情報入力シート!B57="","",基本情報入力シート!B57)</f>
        <v/>
      </c>
      <c r="C29" s="934"/>
      <c r="D29" s="934"/>
      <c r="E29" s="934"/>
      <c r="F29" s="935"/>
      <c r="G29" s="455" t="str">
        <f>IF(基本情報入力シート!L57="", "", 基本情報入力シート!L57)</f>
        <v/>
      </c>
      <c r="H29" s="455" t="str">
        <f>IF(基本情報入力シート!Q57="", "", 基本情報入力シート!Q57)</f>
        <v/>
      </c>
      <c r="I29" s="455" t="str">
        <f>IF(基本情報入力シート!V57="", "", 基本情報入力シート!V57)</f>
        <v/>
      </c>
      <c r="J29" s="455" t="str">
        <f>IF(基本情報入力シート!W57="", "", 基本情報入力シート!W57)</f>
        <v/>
      </c>
      <c r="K29" s="455" t="str">
        <f>IF(基本情報入力シート!Z57="", "", 基本情報入力シート!Z57)</f>
        <v/>
      </c>
      <c r="L29" s="101" t="str">
        <f>IF(基本情報入力シート!AF57=0, "",基本情報入力シート!AF57)</f>
        <v/>
      </c>
      <c r="M29" s="142" t="str">
        <f>IF(基本情報入力シート!AG57="","",基本情報入力シート!AG57)</f>
        <v/>
      </c>
      <c r="N29" s="136"/>
      <c r="O29" s="155" t="str">
        <f>IFERROR(VLOOKUP(K29,【参考】数式用!$A$2:$F$57,MATCH(N29,【参考】数式用!$C$3:$F$3,0)+2,0),"")</f>
        <v/>
      </c>
      <c r="P29" s="456" t="s">
        <v>180</v>
      </c>
      <c r="Q29" s="141"/>
      <c r="R29" s="457" t="s">
        <v>271</v>
      </c>
      <c r="S29" s="141"/>
      <c r="T29" s="457" t="s">
        <v>272</v>
      </c>
      <c r="U29" s="141"/>
      <c r="V29" s="457" t="s">
        <v>271</v>
      </c>
      <c r="W29" s="141"/>
      <c r="X29" s="457" t="s">
        <v>273</v>
      </c>
      <c r="Y29" s="457" t="s">
        <v>274</v>
      </c>
      <c r="Z29" s="457" t="str">
        <f t="shared" si="16"/>
        <v/>
      </c>
      <c r="AA29" s="458" t="s">
        <v>275</v>
      </c>
      <c r="AB29" s="459" t="str">
        <f t="shared" si="23"/>
        <v/>
      </c>
      <c r="AC29" s="460" t="str">
        <f>IFERROR(ROUNDDOWN(ROUNDDOWN(ROUND(L29*VLOOKUP(K29,【参考】数式用!$A$4:$F$57,MATCH("処遇改善加算Ⅳ",【参考】数式用!$C$3:$F$3,0)+2,0),0)*M29,0)*Z29*0.5,0), "")</f>
        <v/>
      </c>
      <c r="AD29" s="156"/>
      <c r="AE29" s="157"/>
      <c r="AF29" s="157"/>
      <c r="AG29" s="158"/>
      <c r="AH29" s="159"/>
      <c r="AI29" s="161"/>
      <c r="AJ29" s="587"/>
      <c r="AK29" s="542" t="str">
        <f t="shared" si="1"/>
        <v/>
      </c>
      <c r="AL29" s="543" t="str">
        <f t="shared" si="2"/>
        <v/>
      </c>
      <c r="AM29" s="544"/>
      <c r="AN29" s="548" t="str">
        <f>IFERROR(VLOOKUP(K29,【参考】数式用!$A$2:$N$57,14,FALSE),"")</f>
        <v/>
      </c>
      <c r="AO29" s="548" t="str">
        <f t="shared" si="3"/>
        <v/>
      </c>
      <c r="AP29" s="547" t="str">
        <f t="shared" si="4"/>
        <v/>
      </c>
      <c r="AQ29" s="547" t="str">
        <f t="shared" si="5"/>
        <v>入力済</v>
      </c>
      <c r="AR29" s="548" t="str">
        <f t="shared" si="6"/>
        <v/>
      </c>
      <c r="AS29" s="547" t="str">
        <f t="shared" si="7"/>
        <v>入力済</v>
      </c>
      <c r="AT29" s="547" t="str">
        <f t="shared" si="8"/>
        <v/>
      </c>
      <c r="AU29" s="547" t="str">
        <f t="shared" si="24"/>
        <v/>
      </c>
      <c r="AV29" s="548" t="str">
        <f t="shared" si="10"/>
        <v/>
      </c>
      <c r="AW29" s="548" t="str">
        <f t="shared" si="11"/>
        <v>入力済</v>
      </c>
      <c r="AX29" s="547" t="str">
        <f>IFERROR(VLOOKUP(K29,【参考】数式用!$AR$3:$AS$49,2, FALSE), "")</f>
        <v/>
      </c>
      <c r="AY29" s="548" t="str">
        <f t="shared" si="12"/>
        <v/>
      </c>
      <c r="AZ29" s="548" t="e">
        <f>IF(AND(N29="処遇改善加算Ⅰ",#REF!= ""), "未入力","入力済")</f>
        <v>#REF!</v>
      </c>
      <c r="BA29" s="547" t="str">
        <f>IFERROR(VLOOKUP(K29,【参考】数式用!$AX$3:$AY$56, 2, FALSE), "")</f>
        <v/>
      </c>
      <c r="BB29" s="548" t="str">
        <f t="shared" si="14"/>
        <v/>
      </c>
      <c r="BC29" s="648" t="str">
        <f t="shared" si="15"/>
        <v>入力済</v>
      </c>
      <c r="BD29" s="548" t="str">
        <f t="shared" si="17"/>
        <v/>
      </c>
      <c r="BE29" s="548" t="str">
        <f t="shared" si="0"/>
        <v/>
      </c>
      <c r="BH29" s="634" t="e">
        <f>VLOOKUP(K29,【参考】数式用!$A$2:$O$57,15,FALSE)</f>
        <v>#N/A</v>
      </c>
    </row>
    <row r="30" spans="1:60" s="550" customFormat="1" ht="109.9" customHeight="1" thickBot="1">
      <c r="A30" s="454">
        <v>19</v>
      </c>
      <c r="B30" s="933" t="str">
        <f>IF(基本情報入力シート!B58="","",基本情報入力シート!B58)</f>
        <v/>
      </c>
      <c r="C30" s="934"/>
      <c r="D30" s="934"/>
      <c r="E30" s="934"/>
      <c r="F30" s="935"/>
      <c r="G30" s="455" t="str">
        <f>IF(基本情報入力シート!L58="", "", 基本情報入力シート!L58)</f>
        <v/>
      </c>
      <c r="H30" s="455" t="str">
        <f>IF(基本情報入力シート!Q58="", "", 基本情報入力シート!Q58)</f>
        <v/>
      </c>
      <c r="I30" s="455" t="str">
        <f>IF(基本情報入力シート!V58="", "", 基本情報入力シート!V58)</f>
        <v/>
      </c>
      <c r="J30" s="455" t="str">
        <f>IF(基本情報入力シート!W58="", "", 基本情報入力シート!W58)</f>
        <v/>
      </c>
      <c r="K30" s="455" t="str">
        <f>IF(基本情報入力シート!Z58="", "", 基本情報入力シート!Z58)</f>
        <v/>
      </c>
      <c r="L30" s="101" t="str">
        <f>IF(基本情報入力シート!AF58=0, "",基本情報入力シート!AF58)</f>
        <v/>
      </c>
      <c r="M30" s="142" t="str">
        <f>IF(基本情報入力シート!AG58="","",基本情報入力シート!AG58)</f>
        <v/>
      </c>
      <c r="N30" s="136"/>
      <c r="O30" s="155" t="str">
        <f>IFERROR(VLOOKUP(K30,【参考】数式用!$A$2:$F$57,MATCH(N30,【参考】数式用!$C$3:$F$3,0)+2,0),"")</f>
        <v/>
      </c>
      <c r="P30" s="456" t="s">
        <v>180</v>
      </c>
      <c r="Q30" s="141"/>
      <c r="R30" s="457" t="s">
        <v>271</v>
      </c>
      <c r="S30" s="141"/>
      <c r="T30" s="457" t="s">
        <v>272</v>
      </c>
      <c r="U30" s="141"/>
      <c r="V30" s="457" t="s">
        <v>271</v>
      </c>
      <c r="W30" s="141"/>
      <c r="X30" s="457" t="s">
        <v>182</v>
      </c>
      <c r="Y30" s="457" t="s">
        <v>274</v>
      </c>
      <c r="Z30" s="457" t="str">
        <f t="shared" si="16"/>
        <v/>
      </c>
      <c r="AA30" s="458" t="s">
        <v>275</v>
      </c>
      <c r="AB30" s="459" t="str">
        <f t="shared" si="23"/>
        <v/>
      </c>
      <c r="AC30" s="460" t="str">
        <f>IFERROR(ROUNDDOWN(ROUNDDOWN(ROUND(L30*VLOOKUP(K30,【参考】数式用!$A$4:$F$57,MATCH("処遇改善加算Ⅳ",【参考】数式用!$C$3:$F$3,0)+2,0),0)*M30,0)*Z30*0.5,0), "")</f>
        <v/>
      </c>
      <c r="AD30" s="156"/>
      <c r="AE30" s="157"/>
      <c r="AF30" s="157"/>
      <c r="AG30" s="158"/>
      <c r="AH30" s="159"/>
      <c r="AI30" s="161"/>
      <c r="AJ30" s="587"/>
      <c r="AK30" s="542" t="str">
        <f t="shared" si="1"/>
        <v/>
      </c>
      <c r="AL30" s="543" t="str">
        <f t="shared" si="2"/>
        <v/>
      </c>
      <c r="AM30" s="544"/>
      <c r="AN30" s="548" t="str">
        <f>IFERROR(VLOOKUP(K30,【参考】数式用!$A$2:$N$57,14,FALSE),"")</f>
        <v/>
      </c>
      <c r="AO30" s="548" t="str">
        <f t="shared" si="3"/>
        <v/>
      </c>
      <c r="AP30" s="547" t="str">
        <f t="shared" si="4"/>
        <v/>
      </c>
      <c r="AQ30" s="547" t="str">
        <f t="shared" si="5"/>
        <v>入力済</v>
      </c>
      <c r="AR30" s="548" t="str">
        <f t="shared" si="6"/>
        <v/>
      </c>
      <c r="AS30" s="547" t="str">
        <f t="shared" si="7"/>
        <v>入力済</v>
      </c>
      <c r="AT30" s="547" t="str">
        <f t="shared" si="8"/>
        <v/>
      </c>
      <c r="AU30" s="547" t="str">
        <f t="shared" si="24"/>
        <v/>
      </c>
      <c r="AV30" s="548" t="str">
        <f t="shared" si="10"/>
        <v/>
      </c>
      <c r="AW30" s="548" t="str">
        <f t="shared" si="11"/>
        <v>入力済</v>
      </c>
      <c r="AX30" s="547" t="str">
        <f>IFERROR(VLOOKUP(K30,【参考】数式用!$AR$3:$AS$49,2, FALSE), "")</f>
        <v/>
      </c>
      <c r="AY30" s="548" t="str">
        <f t="shared" si="12"/>
        <v/>
      </c>
      <c r="AZ30" s="548" t="str">
        <f t="shared" si="13"/>
        <v>入力済</v>
      </c>
      <c r="BA30" s="547" t="str">
        <f>IFERROR(VLOOKUP(K30,【参考】数式用!$AX$3:$AY$56, 2, FALSE), "")</f>
        <v/>
      </c>
      <c r="BB30" s="548" t="str">
        <f t="shared" si="14"/>
        <v/>
      </c>
      <c r="BC30" s="648" t="str">
        <f t="shared" si="15"/>
        <v>入力済</v>
      </c>
      <c r="BD30" s="548" t="str">
        <f t="shared" si="17"/>
        <v/>
      </c>
      <c r="BE30" s="548" t="str">
        <f t="shared" si="0"/>
        <v/>
      </c>
      <c r="BH30" s="634" t="e">
        <f>VLOOKUP(K30,【参考】数式用!$A$2:$O$57,15,FALSE)</f>
        <v>#N/A</v>
      </c>
    </row>
    <row r="31" spans="1:60" s="550" customFormat="1" ht="109.9" customHeight="1" thickBot="1">
      <c r="A31" s="454">
        <v>20</v>
      </c>
      <c r="B31" s="933" t="str">
        <f>IF(基本情報入力シート!B59="","",基本情報入力シート!B59)</f>
        <v/>
      </c>
      <c r="C31" s="934"/>
      <c r="D31" s="934"/>
      <c r="E31" s="934"/>
      <c r="F31" s="935"/>
      <c r="G31" s="455" t="str">
        <f>IF(基本情報入力シート!L59="", "", 基本情報入力シート!L59)</f>
        <v/>
      </c>
      <c r="H31" s="455" t="str">
        <f>IF(基本情報入力シート!Q59="", "", 基本情報入力シート!Q59)</f>
        <v/>
      </c>
      <c r="I31" s="455" t="str">
        <f>IF(基本情報入力シート!V59="", "", 基本情報入力シート!V59)</f>
        <v/>
      </c>
      <c r="J31" s="455" t="str">
        <f>IF(基本情報入力シート!W59="", "", 基本情報入力シート!W59)</f>
        <v/>
      </c>
      <c r="K31" s="455" t="str">
        <f>IF(基本情報入力シート!Z59="", "", 基本情報入力シート!Z59)</f>
        <v/>
      </c>
      <c r="L31" s="101" t="str">
        <f>IF(基本情報入力シート!AF59=0, "",基本情報入力シート!AF59)</f>
        <v/>
      </c>
      <c r="M31" s="142" t="str">
        <f>IF(基本情報入力シート!AG59="","",基本情報入力シート!AG59)</f>
        <v/>
      </c>
      <c r="N31" s="136"/>
      <c r="O31" s="155" t="str">
        <f>IFERROR(VLOOKUP(K31,【参考】数式用!$A$2:$F$57,MATCH(N31,【参考】数式用!$C$3:$F$3,0)+2,0),"")</f>
        <v/>
      </c>
      <c r="P31" s="456" t="s">
        <v>180</v>
      </c>
      <c r="Q31" s="141"/>
      <c r="R31" s="457" t="s">
        <v>271</v>
      </c>
      <c r="S31" s="141"/>
      <c r="T31" s="457" t="s">
        <v>272</v>
      </c>
      <c r="U31" s="141"/>
      <c r="V31" s="457" t="s">
        <v>271</v>
      </c>
      <c r="W31" s="141"/>
      <c r="X31" s="457" t="s">
        <v>273</v>
      </c>
      <c r="Y31" s="457" t="s">
        <v>274</v>
      </c>
      <c r="Z31" s="457" t="str">
        <f t="shared" si="16"/>
        <v/>
      </c>
      <c r="AA31" s="458" t="s">
        <v>275</v>
      </c>
      <c r="AB31" s="459" t="str">
        <f t="shared" si="23"/>
        <v/>
      </c>
      <c r="AC31" s="460" t="str">
        <f>IFERROR(ROUNDDOWN(ROUNDDOWN(ROUND(L31*VLOOKUP(K31,【参考】数式用!$A$4:$F$57,MATCH("処遇改善加算Ⅳ",【参考】数式用!$C$3:$F$3,0)+2,0),0)*M31,0)*Z31*0.5,0), "")</f>
        <v/>
      </c>
      <c r="AD31" s="156"/>
      <c r="AE31" s="157"/>
      <c r="AF31" s="157"/>
      <c r="AG31" s="158"/>
      <c r="AH31" s="159"/>
      <c r="AI31" s="161"/>
      <c r="AJ31" s="161"/>
      <c r="AK31" s="542" t="str">
        <f t="shared" si="1"/>
        <v/>
      </c>
      <c r="AL31" s="543" t="str">
        <f t="shared" si="2"/>
        <v/>
      </c>
      <c r="AM31" s="544"/>
      <c r="AN31" s="548" t="str">
        <f>IFERROR(VLOOKUP(K31,【参考】数式用!$A$2:$N$57,14,FALSE),"")</f>
        <v/>
      </c>
      <c r="AO31" s="548" t="str">
        <f t="shared" si="3"/>
        <v/>
      </c>
      <c r="AP31" s="547" t="str">
        <f t="shared" si="4"/>
        <v/>
      </c>
      <c r="AQ31" s="547" t="str">
        <f t="shared" si="5"/>
        <v>入力済</v>
      </c>
      <c r="AR31" s="548" t="str">
        <f t="shared" si="6"/>
        <v/>
      </c>
      <c r="AS31" s="547" t="str">
        <f t="shared" si="7"/>
        <v>入力済</v>
      </c>
      <c r="AT31" s="547" t="str">
        <f t="shared" si="8"/>
        <v/>
      </c>
      <c r="AU31" s="547" t="str">
        <f t="shared" si="24"/>
        <v/>
      </c>
      <c r="AV31" s="548" t="str">
        <f t="shared" si="10"/>
        <v/>
      </c>
      <c r="AW31" s="548" t="str">
        <f t="shared" si="11"/>
        <v>入力済</v>
      </c>
      <c r="AX31" s="547" t="str">
        <f>IFERROR(VLOOKUP(K31,【参考】数式用!$AR$3:$AS$49,2, FALSE), "")</f>
        <v/>
      </c>
      <c r="AY31" s="548" t="str">
        <f t="shared" si="12"/>
        <v/>
      </c>
      <c r="AZ31" s="548" t="str">
        <f t="shared" si="13"/>
        <v>入力済</v>
      </c>
      <c r="BA31" s="547" t="str">
        <f>IFERROR(VLOOKUP(K31,【参考】数式用!$AX$3:$AY$56, 2, FALSE), "")</f>
        <v/>
      </c>
      <c r="BB31" s="548" t="str">
        <f t="shared" si="14"/>
        <v/>
      </c>
      <c r="BC31" s="648" t="str">
        <f t="shared" si="15"/>
        <v>入力済</v>
      </c>
      <c r="BD31" s="548" t="str">
        <f t="shared" si="17"/>
        <v/>
      </c>
      <c r="BE31" s="548" t="str">
        <f t="shared" si="0"/>
        <v/>
      </c>
      <c r="BH31" s="634" t="e">
        <f>VLOOKUP(K31,【参考】数式用!$A$2:$O$57,15,FALSE)</f>
        <v>#N/A</v>
      </c>
    </row>
    <row r="32" spans="1:60" s="550" customFormat="1" ht="109.9" customHeight="1" thickBot="1">
      <c r="A32" s="454">
        <v>21</v>
      </c>
      <c r="B32" s="933" t="str">
        <f>IF(基本情報入力シート!B60="","",基本情報入力シート!B60)</f>
        <v/>
      </c>
      <c r="C32" s="934"/>
      <c r="D32" s="934"/>
      <c r="E32" s="934"/>
      <c r="F32" s="935"/>
      <c r="G32" s="455" t="str">
        <f>IF(基本情報入力シート!L60="", "", 基本情報入力シート!L60)</f>
        <v/>
      </c>
      <c r="H32" s="455" t="str">
        <f>IF(基本情報入力シート!Q60="", "", 基本情報入力シート!Q60)</f>
        <v/>
      </c>
      <c r="I32" s="455" t="str">
        <f>IF(基本情報入力シート!V60="", "", 基本情報入力シート!V60)</f>
        <v/>
      </c>
      <c r="J32" s="455" t="str">
        <f>IF(基本情報入力シート!W60="", "", 基本情報入力シート!W60)</f>
        <v/>
      </c>
      <c r="K32" s="455" t="str">
        <f>IF(基本情報入力シート!Z60="", "", 基本情報入力シート!Z60)</f>
        <v/>
      </c>
      <c r="L32" s="101" t="str">
        <f>IF(基本情報入力シート!AF60=0, "",基本情報入力シート!AF60)</f>
        <v/>
      </c>
      <c r="M32" s="142" t="str">
        <f>IF(基本情報入力シート!AG60="","",基本情報入力シート!AG60)</f>
        <v/>
      </c>
      <c r="N32" s="136"/>
      <c r="O32" s="155" t="str">
        <f>IFERROR(VLOOKUP(K32,【参考】数式用!$A$2:$F$57,MATCH(N32,【参考】数式用!$C$3:$F$3,0)+2,0),"")</f>
        <v/>
      </c>
      <c r="P32" s="456" t="s">
        <v>180</v>
      </c>
      <c r="Q32" s="141"/>
      <c r="R32" s="457" t="s">
        <v>271</v>
      </c>
      <c r="S32" s="141"/>
      <c r="T32" s="457" t="s">
        <v>272</v>
      </c>
      <c r="U32" s="141"/>
      <c r="V32" s="457" t="s">
        <v>271</v>
      </c>
      <c r="W32" s="141"/>
      <c r="X32" s="457" t="s">
        <v>273</v>
      </c>
      <c r="Y32" s="457" t="s">
        <v>274</v>
      </c>
      <c r="Z32" s="457" t="str">
        <f t="shared" si="16"/>
        <v/>
      </c>
      <c r="AA32" s="458" t="s">
        <v>275</v>
      </c>
      <c r="AB32" s="459" t="str">
        <f t="shared" si="23"/>
        <v/>
      </c>
      <c r="AC32" s="460" t="str">
        <f>IFERROR(ROUNDDOWN(ROUNDDOWN(ROUND(L32*VLOOKUP(K32,【参考】数式用!$A$4:$F$57,MATCH("処遇改善加算Ⅳ",【参考】数式用!$C$3:$F$3,0)+2,0),0)*M32,0)*Z32*0.5,0), "")</f>
        <v/>
      </c>
      <c r="AD32" s="156"/>
      <c r="AE32" s="157"/>
      <c r="AF32" s="157"/>
      <c r="AG32" s="158"/>
      <c r="AH32" s="159"/>
      <c r="AI32" s="161"/>
      <c r="AJ32" s="161"/>
      <c r="AK32" s="542" t="str">
        <f t="shared" si="1"/>
        <v/>
      </c>
      <c r="AL32" s="543" t="str">
        <f t="shared" si="2"/>
        <v/>
      </c>
      <c r="AM32" s="544"/>
      <c r="AN32" s="548" t="str">
        <f>IFERROR(VLOOKUP(K32,【参考】数式用!$A$2:$N$57,14,FALSE),"")</f>
        <v/>
      </c>
      <c r="AO32" s="548" t="str">
        <f t="shared" si="3"/>
        <v/>
      </c>
      <c r="AP32" s="547" t="str">
        <f t="shared" si="4"/>
        <v/>
      </c>
      <c r="AQ32" s="547" t="str">
        <f t="shared" si="5"/>
        <v>入力済</v>
      </c>
      <c r="AR32" s="548" t="str">
        <f t="shared" si="6"/>
        <v/>
      </c>
      <c r="AS32" s="547" t="str">
        <f t="shared" si="7"/>
        <v>入力済</v>
      </c>
      <c r="AT32" s="547" t="str">
        <f t="shared" si="8"/>
        <v/>
      </c>
      <c r="AU32" s="547" t="str">
        <f t="shared" si="24"/>
        <v/>
      </c>
      <c r="AV32" s="548" t="str">
        <f t="shared" si="10"/>
        <v/>
      </c>
      <c r="AW32" s="548" t="str">
        <f t="shared" si="11"/>
        <v>入力済</v>
      </c>
      <c r="AX32" s="547" t="str">
        <f>IFERROR(VLOOKUP(K32,【参考】数式用!$AR$3:$AS$49,2, FALSE), "")</f>
        <v/>
      </c>
      <c r="AY32" s="548" t="str">
        <f t="shared" si="12"/>
        <v/>
      </c>
      <c r="AZ32" s="548" t="str">
        <f t="shared" si="13"/>
        <v>入力済</v>
      </c>
      <c r="BA32" s="547" t="str">
        <f>IFERROR(VLOOKUP(K32,【参考】数式用!$AX$3:$AY$56, 2, FALSE), "")</f>
        <v/>
      </c>
      <c r="BB32" s="548" t="str">
        <f t="shared" si="14"/>
        <v/>
      </c>
      <c r="BC32" s="648" t="str">
        <f t="shared" si="15"/>
        <v>入力済</v>
      </c>
      <c r="BD32" s="548" t="str">
        <f t="shared" si="17"/>
        <v/>
      </c>
      <c r="BE32" s="548" t="str">
        <f t="shared" si="0"/>
        <v/>
      </c>
      <c r="BH32" s="634" t="e">
        <f>VLOOKUP(K32,【参考】数式用!$A$2:$O$57,15,FALSE)</f>
        <v>#N/A</v>
      </c>
    </row>
    <row r="33" spans="1:67" s="550" customFormat="1" ht="109.9" customHeight="1" thickBot="1">
      <c r="A33" s="454">
        <v>22</v>
      </c>
      <c r="B33" s="933" t="str">
        <f>IF(基本情報入力シート!B61="","",基本情報入力シート!B61)</f>
        <v/>
      </c>
      <c r="C33" s="934"/>
      <c r="D33" s="934"/>
      <c r="E33" s="934"/>
      <c r="F33" s="935"/>
      <c r="G33" s="455" t="str">
        <f>IF(基本情報入力シート!L61="", "", 基本情報入力シート!L61)</f>
        <v/>
      </c>
      <c r="H33" s="455" t="str">
        <f>IF(基本情報入力シート!Q61="", "", 基本情報入力シート!Q61)</f>
        <v/>
      </c>
      <c r="I33" s="455" t="str">
        <f>IF(基本情報入力シート!V61="", "", 基本情報入力シート!V61)</f>
        <v/>
      </c>
      <c r="J33" s="455" t="str">
        <f>IF(基本情報入力シート!W61="", "", 基本情報入力シート!W61)</f>
        <v/>
      </c>
      <c r="K33" s="455" t="str">
        <f>IF(基本情報入力シート!Z61="", "", 基本情報入力シート!Z61)</f>
        <v/>
      </c>
      <c r="L33" s="101" t="str">
        <f>IF(基本情報入力シート!AF61=0, "",基本情報入力シート!AF61)</f>
        <v/>
      </c>
      <c r="M33" s="142" t="str">
        <f>IF(基本情報入力シート!AG61="","",基本情報入力シート!AG61)</f>
        <v/>
      </c>
      <c r="N33" s="136"/>
      <c r="O33" s="155" t="str">
        <f>IFERROR(VLOOKUP(K33,【参考】数式用!$A$2:$F$57,MATCH(N33,【参考】数式用!$C$3:$F$3,0)+2,0),"")</f>
        <v/>
      </c>
      <c r="P33" s="456" t="s">
        <v>180</v>
      </c>
      <c r="Q33" s="141"/>
      <c r="R33" s="457" t="s">
        <v>271</v>
      </c>
      <c r="S33" s="141"/>
      <c r="T33" s="457" t="s">
        <v>272</v>
      </c>
      <c r="U33" s="141"/>
      <c r="V33" s="457" t="s">
        <v>271</v>
      </c>
      <c r="W33" s="141"/>
      <c r="X33" s="457" t="s">
        <v>273</v>
      </c>
      <c r="Y33" s="457" t="s">
        <v>274</v>
      </c>
      <c r="Z33" s="457" t="str">
        <f t="shared" si="16"/>
        <v/>
      </c>
      <c r="AA33" s="458" t="s">
        <v>275</v>
      </c>
      <c r="AB33" s="459" t="str">
        <f t="shared" si="23"/>
        <v/>
      </c>
      <c r="AC33" s="460" t="str">
        <f>IFERROR(ROUNDDOWN(ROUNDDOWN(ROUND(L33*VLOOKUP(K33,【参考】数式用!$A$4:$F$57,MATCH("処遇改善加算Ⅳ",【参考】数式用!$C$3:$F$3,0)+2,0),0)*M33,0)*Z33*0.5,0), "")</f>
        <v/>
      </c>
      <c r="AD33" s="156"/>
      <c r="AE33" s="157"/>
      <c r="AF33" s="157"/>
      <c r="AG33" s="158"/>
      <c r="AH33" s="159"/>
      <c r="AI33" s="161"/>
      <c r="AJ33" s="161"/>
      <c r="AK33" s="542" t="str">
        <f t="shared" si="1"/>
        <v/>
      </c>
      <c r="AL33" s="543" t="str">
        <f t="shared" si="2"/>
        <v/>
      </c>
      <c r="AM33" s="544"/>
      <c r="AN33" s="548" t="str">
        <f>IFERROR(VLOOKUP(K33,【参考】数式用!$A$2:$N$57,14,FALSE),"")</f>
        <v/>
      </c>
      <c r="AO33" s="548" t="str">
        <f t="shared" si="3"/>
        <v/>
      </c>
      <c r="AP33" s="547" t="str">
        <f t="shared" si="4"/>
        <v/>
      </c>
      <c r="AQ33" s="547" t="str">
        <f t="shared" si="5"/>
        <v>入力済</v>
      </c>
      <c r="AR33" s="548" t="str">
        <f t="shared" si="6"/>
        <v/>
      </c>
      <c r="AS33" s="547" t="str">
        <f t="shared" si="7"/>
        <v>入力済</v>
      </c>
      <c r="AT33" s="547" t="str">
        <f t="shared" si="8"/>
        <v/>
      </c>
      <c r="AU33" s="547" t="str">
        <f t="shared" si="24"/>
        <v/>
      </c>
      <c r="AV33" s="548" t="str">
        <f t="shared" si="10"/>
        <v/>
      </c>
      <c r="AW33" s="548" t="str">
        <f t="shared" si="11"/>
        <v>入力済</v>
      </c>
      <c r="AX33" s="547" t="str">
        <f>IFERROR(VLOOKUP(K33,【参考】数式用!$AR$3:$AS$49,2, FALSE), "")</f>
        <v/>
      </c>
      <c r="AY33" s="548" t="str">
        <f t="shared" si="12"/>
        <v/>
      </c>
      <c r="AZ33" s="548" t="str">
        <f t="shared" si="13"/>
        <v>入力済</v>
      </c>
      <c r="BA33" s="547" t="str">
        <f>IFERROR(VLOOKUP(K33,【参考】数式用!$AX$3:$AY$56, 2, FALSE), "")</f>
        <v/>
      </c>
      <c r="BB33" s="548" t="str">
        <f t="shared" si="14"/>
        <v/>
      </c>
      <c r="BC33" s="648" t="str">
        <f t="shared" si="15"/>
        <v>入力済</v>
      </c>
      <c r="BD33" s="548" t="str">
        <f t="shared" si="17"/>
        <v/>
      </c>
      <c r="BE33" s="548" t="str">
        <f t="shared" si="0"/>
        <v/>
      </c>
      <c r="BH33" s="634" t="e">
        <f>VLOOKUP(K33,【参考】数式用!$A$2:$O$57,15,FALSE)</f>
        <v>#N/A</v>
      </c>
    </row>
    <row r="34" spans="1:67" s="550" customFormat="1" ht="109.9" customHeight="1" thickBot="1">
      <c r="A34" s="454">
        <v>23</v>
      </c>
      <c r="B34" s="933" t="str">
        <f>IF(基本情報入力シート!B62="","",基本情報入力シート!B62)</f>
        <v/>
      </c>
      <c r="C34" s="934"/>
      <c r="D34" s="934"/>
      <c r="E34" s="934"/>
      <c r="F34" s="935"/>
      <c r="G34" s="455" t="str">
        <f>IF(基本情報入力シート!L62="", "", 基本情報入力シート!L62)</f>
        <v/>
      </c>
      <c r="H34" s="455" t="str">
        <f>IF(基本情報入力シート!Q62="", "", 基本情報入力シート!Q62)</f>
        <v/>
      </c>
      <c r="I34" s="455" t="str">
        <f>IF(基本情報入力シート!V62="", "", 基本情報入力シート!V62)</f>
        <v/>
      </c>
      <c r="J34" s="455" t="str">
        <f>IF(基本情報入力シート!W62="", "", 基本情報入力シート!W62)</f>
        <v/>
      </c>
      <c r="K34" s="455" t="str">
        <f>IF(基本情報入力シート!Z62="", "", 基本情報入力シート!Z62)</f>
        <v/>
      </c>
      <c r="L34" s="101" t="str">
        <f>IF(基本情報入力シート!AF62=0, "",基本情報入力シート!AF62)</f>
        <v/>
      </c>
      <c r="M34" s="142" t="str">
        <f>IF(基本情報入力シート!AG62="","",基本情報入力シート!AG62)</f>
        <v/>
      </c>
      <c r="N34" s="136"/>
      <c r="O34" s="155" t="str">
        <f>IFERROR(VLOOKUP(K34,【参考】数式用!$A$2:$F$57,MATCH(N34,【参考】数式用!$C$3:$F$3,0)+2,0),"")</f>
        <v/>
      </c>
      <c r="P34" s="456" t="s">
        <v>180</v>
      </c>
      <c r="Q34" s="141"/>
      <c r="R34" s="457" t="s">
        <v>271</v>
      </c>
      <c r="S34" s="141"/>
      <c r="T34" s="457" t="s">
        <v>272</v>
      </c>
      <c r="U34" s="141"/>
      <c r="V34" s="457" t="s">
        <v>271</v>
      </c>
      <c r="W34" s="141"/>
      <c r="X34" s="457" t="s">
        <v>182</v>
      </c>
      <c r="Y34" s="457" t="s">
        <v>274</v>
      </c>
      <c r="Z34" s="457" t="str">
        <f t="shared" si="16"/>
        <v/>
      </c>
      <c r="AA34" s="458" t="s">
        <v>275</v>
      </c>
      <c r="AB34" s="459" t="str">
        <f t="shared" si="23"/>
        <v/>
      </c>
      <c r="AC34" s="460" t="str">
        <f>IFERROR(ROUNDDOWN(ROUNDDOWN(ROUND(L34*VLOOKUP(K34,【参考】数式用!$A$4:$F$57,MATCH("処遇改善加算Ⅳ",【参考】数式用!$C$3:$F$3,0)+2,0),0)*M34,0)*Z34*0.5,0), "")</f>
        <v/>
      </c>
      <c r="AD34" s="156"/>
      <c r="AE34" s="157"/>
      <c r="AF34" s="157"/>
      <c r="AG34" s="158"/>
      <c r="AH34" s="159"/>
      <c r="AI34" s="161"/>
      <c r="AJ34" s="161"/>
      <c r="AK34" s="542" t="str">
        <f t="shared" si="1"/>
        <v/>
      </c>
      <c r="AL34" s="543" t="str">
        <f t="shared" si="2"/>
        <v/>
      </c>
      <c r="AM34" s="544"/>
      <c r="AN34" s="548" t="str">
        <f>IFERROR(VLOOKUP(K34,【参考】数式用!$A$2:$N$57,14,FALSE),"")</f>
        <v/>
      </c>
      <c r="AO34" s="548" t="str">
        <f t="shared" si="3"/>
        <v/>
      </c>
      <c r="AP34" s="547" t="str">
        <f t="shared" si="4"/>
        <v/>
      </c>
      <c r="AQ34" s="547" t="str">
        <f t="shared" si="5"/>
        <v>入力済</v>
      </c>
      <c r="AR34" s="548" t="str">
        <f t="shared" si="6"/>
        <v/>
      </c>
      <c r="AS34" s="547" t="str">
        <f t="shared" si="7"/>
        <v>入力済</v>
      </c>
      <c r="AT34" s="547" t="str">
        <f t="shared" si="8"/>
        <v/>
      </c>
      <c r="AU34" s="547" t="str">
        <f t="shared" si="24"/>
        <v/>
      </c>
      <c r="AV34" s="548" t="str">
        <f t="shared" si="10"/>
        <v/>
      </c>
      <c r="AW34" s="548" t="str">
        <f t="shared" si="11"/>
        <v>入力済</v>
      </c>
      <c r="AX34" s="547" t="str">
        <f>IFERROR(VLOOKUP(K34,【参考】数式用!$AR$3:$AS$49,2, FALSE), "")</f>
        <v/>
      </c>
      <c r="AY34" s="548" t="str">
        <f t="shared" si="12"/>
        <v/>
      </c>
      <c r="AZ34" s="548" t="str">
        <f t="shared" si="13"/>
        <v>入力済</v>
      </c>
      <c r="BA34" s="547" t="str">
        <f>IFERROR(VLOOKUP(K34,【参考】数式用!$AX$3:$AY$56, 2, FALSE), "")</f>
        <v/>
      </c>
      <c r="BB34" s="548" t="str">
        <f t="shared" si="14"/>
        <v/>
      </c>
      <c r="BC34" s="648" t="str">
        <f t="shared" si="15"/>
        <v>入力済</v>
      </c>
      <c r="BD34" s="548" t="str">
        <f t="shared" si="17"/>
        <v/>
      </c>
      <c r="BE34" s="548" t="str">
        <f t="shared" si="0"/>
        <v/>
      </c>
      <c r="BH34" s="634" t="e">
        <f>VLOOKUP(K34,【参考】数式用!$A$2:$O$57,15,FALSE)</f>
        <v>#N/A</v>
      </c>
    </row>
    <row r="35" spans="1:67" s="550" customFormat="1" ht="109.9" customHeight="1" thickBot="1">
      <c r="A35" s="454">
        <v>24</v>
      </c>
      <c r="B35" s="933" t="str">
        <f>IF(基本情報入力シート!B63="","",基本情報入力シート!B63)</f>
        <v/>
      </c>
      <c r="C35" s="934"/>
      <c r="D35" s="934"/>
      <c r="E35" s="934"/>
      <c r="F35" s="935"/>
      <c r="G35" s="455" t="str">
        <f>IF(基本情報入力シート!L63="", "", 基本情報入力シート!L63)</f>
        <v/>
      </c>
      <c r="H35" s="455" t="str">
        <f>IF(基本情報入力シート!Q63="", "", 基本情報入力シート!Q63)</f>
        <v/>
      </c>
      <c r="I35" s="455" t="str">
        <f>IF(基本情報入力シート!V63="", "", 基本情報入力シート!V63)</f>
        <v/>
      </c>
      <c r="J35" s="455" t="str">
        <f>IF(基本情報入力シート!W63="", "", 基本情報入力シート!W63)</f>
        <v/>
      </c>
      <c r="K35" s="455" t="str">
        <f>IF(基本情報入力シート!Z63="", "", 基本情報入力シート!Z63)</f>
        <v/>
      </c>
      <c r="L35" s="101" t="str">
        <f>IF(基本情報入力シート!AF63=0, "",基本情報入力シート!AF63)</f>
        <v/>
      </c>
      <c r="M35" s="142" t="str">
        <f>IF(基本情報入力シート!AG63="","",基本情報入力シート!AG63)</f>
        <v/>
      </c>
      <c r="N35" s="136"/>
      <c r="O35" s="155" t="str">
        <f>IFERROR(VLOOKUP(K35,【参考】数式用!$A$2:$F$57,MATCH(N35,【参考】数式用!$C$3:$F$3,0)+2,0),"")</f>
        <v/>
      </c>
      <c r="P35" s="456" t="s">
        <v>180</v>
      </c>
      <c r="Q35" s="141"/>
      <c r="R35" s="457" t="s">
        <v>271</v>
      </c>
      <c r="S35" s="141"/>
      <c r="T35" s="457" t="s">
        <v>272</v>
      </c>
      <c r="U35" s="141"/>
      <c r="V35" s="457" t="s">
        <v>271</v>
      </c>
      <c r="W35" s="141"/>
      <c r="X35" s="457" t="s">
        <v>182</v>
      </c>
      <c r="Y35" s="457" t="s">
        <v>274</v>
      </c>
      <c r="Z35" s="457" t="str">
        <f t="shared" si="16"/>
        <v/>
      </c>
      <c r="AA35" s="458" t="s">
        <v>275</v>
      </c>
      <c r="AB35" s="459" t="str">
        <f t="shared" si="23"/>
        <v/>
      </c>
      <c r="AC35" s="460" t="str">
        <f>IFERROR(ROUNDDOWN(ROUNDDOWN(ROUND(L35*VLOOKUP(K35,【参考】数式用!$A$4:$F$57,MATCH("処遇改善加算Ⅳ",【参考】数式用!$C$3:$F$3,0)+2,0),0)*M35,0)*Z35*0.5,0), "")</f>
        <v/>
      </c>
      <c r="AD35" s="156"/>
      <c r="AE35" s="157"/>
      <c r="AF35" s="157"/>
      <c r="AG35" s="158"/>
      <c r="AH35" s="159"/>
      <c r="AI35" s="161"/>
      <c r="AJ35" s="161"/>
      <c r="AK35" s="542" t="str">
        <f t="shared" si="1"/>
        <v/>
      </c>
      <c r="AL35" s="543" t="str">
        <f t="shared" si="2"/>
        <v/>
      </c>
      <c r="AM35" s="544"/>
      <c r="AN35" s="548" t="str">
        <f>IFERROR(VLOOKUP(K35,【参考】数式用!$A$2:$N$57,14,FALSE),"")</f>
        <v/>
      </c>
      <c r="AO35" s="548" t="str">
        <f t="shared" si="3"/>
        <v/>
      </c>
      <c r="AP35" s="547" t="str">
        <f t="shared" si="4"/>
        <v/>
      </c>
      <c r="AQ35" s="547" t="str">
        <f t="shared" si="5"/>
        <v>入力済</v>
      </c>
      <c r="AR35" s="548" t="str">
        <f t="shared" si="6"/>
        <v/>
      </c>
      <c r="AS35" s="547" t="str">
        <f t="shared" si="7"/>
        <v>入力済</v>
      </c>
      <c r="AT35" s="547" t="str">
        <f t="shared" si="8"/>
        <v/>
      </c>
      <c r="AU35" s="547" t="str">
        <f t="shared" si="24"/>
        <v/>
      </c>
      <c r="AV35" s="548" t="str">
        <f t="shared" si="10"/>
        <v/>
      </c>
      <c r="AW35" s="548" t="str">
        <f t="shared" si="11"/>
        <v>入力済</v>
      </c>
      <c r="AX35" s="547" t="str">
        <f>IFERROR(VLOOKUP(K35,【参考】数式用!$AR$3:$AS$49,2, FALSE), "")</f>
        <v/>
      </c>
      <c r="AY35" s="548" t="str">
        <f t="shared" si="12"/>
        <v/>
      </c>
      <c r="AZ35" s="548" t="str">
        <f t="shared" si="13"/>
        <v>入力済</v>
      </c>
      <c r="BA35" s="547" t="str">
        <f>IFERROR(VLOOKUP(K35,【参考】数式用!$AX$3:$AY$56, 2, FALSE), "")</f>
        <v/>
      </c>
      <c r="BB35" s="548" t="str">
        <f t="shared" si="14"/>
        <v/>
      </c>
      <c r="BC35" s="648" t="str">
        <f t="shared" si="15"/>
        <v>入力済</v>
      </c>
      <c r="BD35" s="548" t="str">
        <f t="shared" si="17"/>
        <v/>
      </c>
      <c r="BE35" s="548" t="str">
        <f t="shared" si="0"/>
        <v/>
      </c>
      <c r="BH35" s="634" t="e">
        <f>VLOOKUP(K35,【参考】数式用!$A$2:$O$57,15,FALSE)</f>
        <v>#N/A</v>
      </c>
    </row>
    <row r="36" spans="1:67" s="550" customFormat="1" ht="109.9" customHeight="1" thickBot="1">
      <c r="A36" s="454">
        <v>25</v>
      </c>
      <c r="B36" s="933" t="str">
        <f>IF(基本情報入力シート!B64="","",基本情報入力シート!B64)</f>
        <v/>
      </c>
      <c r="C36" s="934"/>
      <c r="D36" s="934"/>
      <c r="E36" s="934"/>
      <c r="F36" s="935"/>
      <c r="G36" s="455" t="str">
        <f>IF(基本情報入力シート!L64="", "", 基本情報入力シート!L64)</f>
        <v/>
      </c>
      <c r="H36" s="455" t="str">
        <f>IF(基本情報入力シート!Q64="", "", 基本情報入力シート!Q64)</f>
        <v/>
      </c>
      <c r="I36" s="455" t="str">
        <f>IF(基本情報入力シート!V64="", "", 基本情報入力シート!V64)</f>
        <v/>
      </c>
      <c r="J36" s="455" t="str">
        <f>IF(基本情報入力シート!W64="", "", 基本情報入力シート!W64)</f>
        <v/>
      </c>
      <c r="K36" s="455" t="str">
        <f>IF(基本情報入力シート!Z64="", "", 基本情報入力シート!Z64)</f>
        <v/>
      </c>
      <c r="L36" s="101" t="str">
        <f>IF(基本情報入力シート!AF64=0, "",基本情報入力シート!AF64)</f>
        <v/>
      </c>
      <c r="M36" s="142" t="str">
        <f>IF(基本情報入力シート!AG64="","",基本情報入力シート!AG64)</f>
        <v/>
      </c>
      <c r="N36" s="136"/>
      <c r="O36" s="155" t="str">
        <f>IFERROR(VLOOKUP(K36,【参考】数式用!$A$2:$F$57,MATCH(N36,【参考】数式用!$C$3:$F$3,0)+2,0),"")</f>
        <v/>
      </c>
      <c r="P36" s="456" t="s">
        <v>180</v>
      </c>
      <c r="Q36" s="141"/>
      <c r="R36" s="457" t="s">
        <v>271</v>
      </c>
      <c r="S36" s="141"/>
      <c r="T36" s="457" t="s">
        <v>272</v>
      </c>
      <c r="U36" s="141"/>
      <c r="V36" s="457" t="s">
        <v>271</v>
      </c>
      <c r="W36" s="141"/>
      <c r="X36" s="457" t="s">
        <v>273</v>
      </c>
      <c r="Y36" s="457" t="s">
        <v>274</v>
      </c>
      <c r="Z36" s="457" t="str">
        <f t="shared" si="16"/>
        <v/>
      </c>
      <c r="AA36" s="458" t="s">
        <v>275</v>
      </c>
      <c r="AB36" s="459" t="str">
        <f t="shared" si="23"/>
        <v/>
      </c>
      <c r="AC36" s="460" t="str">
        <f>IFERROR(ROUNDDOWN(ROUNDDOWN(ROUND(L36*VLOOKUP(K36,【参考】数式用!$A$4:$F$57,MATCH("処遇改善加算Ⅳ",【参考】数式用!$C$3:$F$3,0)+2,0),0)*M36,0)*Z36*0.5,0), "")</f>
        <v/>
      </c>
      <c r="AD36" s="156"/>
      <c r="AE36" s="157"/>
      <c r="AF36" s="157"/>
      <c r="AG36" s="158"/>
      <c r="AH36" s="159"/>
      <c r="AI36" s="161"/>
      <c r="AJ36" s="161"/>
      <c r="AK36" s="542" t="str">
        <f t="shared" si="1"/>
        <v/>
      </c>
      <c r="AL36" s="543" t="str">
        <f t="shared" si="2"/>
        <v/>
      </c>
      <c r="AM36" s="544"/>
      <c r="AN36" s="548" t="str">
        <f>IFERROR(VLOOKUP(K36,【参考】数式用!$A$2:$N$57,14,FALSE),"")</f>
        <v/>
      </c>
      <c r="AO36" s="548" t="str">
        <f t="shared" si="3"/>
        <v/>
      </c>
      <c r="AP36" s="547" t="str">
        <f t="shared" si="4"/>
        <v/>
      </c>
      <c r="AQ36" s="547" t="str">
        <f t="shared" si="5"/>
        <v>入力済</v>
      </c>
      <c r="AR36" s="548" t="str">
        <f t="shared" si="6"/>
        <v/>
      </c>
      <c r="AS36" s="547" t="str">
        <f t="shared" si="7"/>
        <v>入力済</v>
      </c>
      <c r="AT36" s="547" t="str">
        <f t="shared" si="8"/>
        <v/>
      </c>
      <c r="AU36" s="547" t="str">
        <f t="shared" si="24"/>
        <v/>
      </c>
      <c r="AV36" s="548" t="str">
        <f t="shared" si="10"/>
        <v/>
      </c>
      <c r="AW36" s="548" t="str">
        <f t="shared" si="11"/>
        <v>入力済</v>
      </c>
      <c r="AX36" s="547" t="str">
        <f>IFERROR(VLOOKUP(K36,【参考】数式用!$AR$3:$AS$49,2, FALSE), "")</f>
        <v/>
      </c>
      <c r="AY36" s="548" t="str">
        <f t="shared" si="12"/>
        <v/>
      </c>
      <c r="AZ36" s="548" t="str">
        <f t="shared" si="13"/>
        <v>入力済</v>
      </c>
      <c r="BA36" s="547" t="str">
        <f>IFERROR(VLOOKUP(K36,【参考】数式用!$AX$3:$AY$56, 2, FALSE), "")</f>
        <v/>
      </c>
      <c r="BB36" s="548" t="str">
        <f t="shared" si="14"/>
        <v/>
      </c>
      <c r="BC36" s="648" t="str">
        <f t="shared" si="15"/>
        <v>入力済</v>
      </c>
      <c r="BD36" s="548" t="str">
        <f t="shared" si="17"/>
        <v/>
      </c>
      <c r="BE36" s="548" t="str">
        <f t="shared" si="0"/>
        <v/>
      </c>
      <c r="BH36" s="634" t="e">
        <f>VLOOKUP(K36,【参考】数式用!$A$2:$O$57,15,FALSE)</f>
        <v>#N/A</v>
      </c>
    </row>
    <row r="37" spans="1:67" s="550" customFormat="1" ht="109.9" customHeight="1" thickBot="1">
      <c r="A37" s="454">
        <v>26</v>
      </c>
      <c r="B37" s="933" t="str">
        <f>IF(基本情報入力シート!B65="","",基本情報入力シート!B65)</f>
        <v/>
      </c>
      <c r="C37" s="934"/>
      <c r="D37" s="934"/>
      <c r="E37" s="934"/>
      <c r="F37" s="935"/>
      <c r="G37" s="455" t="str">
        <f>IF(基本情報入力シート!L65="", "", 基本情報入力シート!L65)</f>
        <v/>
      </c>
      <c r="H37" s="455" t="str">
        <f>IF(基本情報入力シート!Q65="", "", 基本情報入力シート!Q65)</f>
        <v/>
      </c>
      <c r="I37" s="455" t="str">
        <f>IF(基本情報入力シート!V65="", "", 基本情報入力シート!V65)</f>
        <v/>
      </c>
      <c r="J37" s="455" t="str">
        <f>IF(基本情報入力シート!W65="", "", 基本情報入力シート!W65)</f>
        <v/>
      </c>
      <c r="K37" s="455" t="str">
        <f>IF(基本情報入力シート!Z65="", "", 基本情報入力シート!Z65)</f>
        <v/>
      </c>
      <c r="L37" s="101" t="str">
        <f>IF(基本情報入力シート!AF65=0, "",基本情報入力シート!AF65)</f>
        <v/>
      </c>
      <c r="M37" s="142" t="str">
        <f>IF(基本情報入力シート!AG65="","",基本情報入力シート!AG65)</f>
        <v/>
      </c>
      <c r="N37" s="136"/>
      <c r="O37" s="155" t="str">
        <f>IFERROR(VLOOKUP(K37,【参考】数式用!$A$2:$F$57,MATCH(N37,【参考】数式用!$C$3:$F$3,0)+2,0),"")</f>
        <v/>
      </c>
      <c r="P37" s="456" t="s">
        <v>180</v>
      </c>
      <c r="Q37" s="141"/>
      <c r="R37" s="457" t="s">
        <v>271</v>
      </c>
      <c r="S37" s="141"/>
      <c r="T37" s="457" t="s">
        <v>272</v>
      </c>
      <c r="U37" s="141"/>
      <c r="V37" s="457" t="s">
        <v>271</v>
      </c>
      <c r="W37" s="141"/>
      <c r="X37" s="457" t="s">
        <v>273</v>
      </c>
      <c r="Y37" s="457" t="s">
        <v>274</v>
      </c>
      <c r="Z37" s="457" t="str">
        <f t="shared" si="16"/>
        <v/>
      </c>
      <c r="AA37" s="458" t="s">
        <v>275</v>
      </c>
      <c r="AB37" s="459" t="str">
        <f t="shared" si="23"/>
        <v/>
      </c>
      <c r="AC37" s="460" t="str">
        <f>IFERROR(ROUNDDOWN(ROUNDDOWN(ROUND(L37*VLOOKUP(K37,【参考】数式用!$A$4:$F$57,MATCH("処遇改善加算Ⅳ",【参考】数式用!$C$3:$F$3,0)+2,0),0)*M37,0)*Z37*0.5,0), "")</f>
        <v/>
      </c>
      <c r="AD37" s="156"/>
      <c r="AE37" s="157"/>
      <c r="AF37" s="157"/>
      <c r="AG37" s="158"/>
      <c r="AH37" s="159"/>
      <c r="AI37" s="161"/>
      <c r="AJ37" s="161"/>
      <c r="AK37" s="542" t="str">
        <f t="shared" si="1"/>
        <v/>
      </c>
      <c r="AL37" s="543" t="str">
        <f t="shared" si="2"/>
        <v/>
      </c>
      <c r="AM37" s="544"/>
      <c r="AN37" s="548" t="str">
        <f>IFERROR(VLOOKUP(K37,【参考】数式用!$A$2:$N$57,14,FALSE),"")</f>
        <v/>
      </c>
      <c r="AO37" s="548" t="str">
        <f t="shared" si="3"/>
        <v/>
      </c>
      <c r="AP37" s="547" t="str">
        <f t="shared" si="4"/>
        <v/>
      </c>
      <c r="AQ37" s="547" t="str">
        <f t="shared" si="5"/>
        <v>入力済</v>
      </c>
      <c r="AR37" s="548" t="str">
        <f t="shared" si="6"/>
        <v/>
      </c>
      <c r="AS37" s="547" t="str">
        <f t="shared" si="7"/>
        <v>入力済</v>
      </c>
      <c r="AT37" s="547" t="str">
        <f t="shared" si="8"/>
        <v/>
      </c>
      <c r="AU37" s="547" t="str">
        <f t="shared" si="24"/>
        <v/>
      </c>
      <c r="AV37" s="548" t="str">
        <f t="shared" si="10"/>
        <v/>
      </c>
      <c r="AW37" s="548" t="str">
        <f t="shared" si="11"/>
        <v>入力済</v>
      </c>
      <c r="AX37" s="547" t="str">
        <f>IFERROR(VLOOKUP(K37,【参考】数式用!$AR$3:$AS$49,2, FALSE), "")</f>
        <v/>
      </c>
      <c r="AY37" s="548" t="str">
        <f t="shared" si="12"/>
        <v/>
      </c>
      <c r="AZ37" s="548" t="str">
        <f t="shared" si="13"/>
        <v>入力済</v>
      </c>
      <c r="BA37" s="547" t="str">
        <f>IFERROR(VLOOKUP(K37,【参考】数式用!$AX$3:$AY$56, 2, FALSE), "")</f>
        <v/>
      </c>
      <c r="BB37" s="548" t="str">
        <f t="shared" si="14"/>
        <v/>
      </c>
      <c r="BC37" s="648" t="str">
        <f t="shared" si="15"/>
        <v>入力済</v>
      </c>
      <c r="BD37" s="548" t="str">
        <f t="shared" si="17"/>
        <v/>
      </c>
      <c r="BE37" s="548" t="str">
        <f t="shared" si="0"/>
        <v/>
      </c>
      <c r="BH37" s="634" t="e">
        <f>VLOOKUP(K37,【参考】数式用!$A$2:$O$57,15,FALSE)</f>
        <v>#N/A</v>
      </c>
    </row>
    <row r="38" spans="1:67" s="550" customFormat="1" ht="109.9" customHeight="1" thickBot="1">
      <c r="A38" s="454">
        <v>27</v>
      </c>
      <c r="B38" s="933" t="str">
        <f>IF(基本情報入力シート!B66="","",基本情報入力シート!B66)</f>
        <v/>
      </c>
      <c r="C38" s="934"/>
      <c r="D38" s="934"/>
      <c r="E38" s="934"/>
      <c r="F38" s="935"/>
      <c r="G38" s="455" t="str">
        <f>IF(基本情報入力シート!L66="", "", 基本情報入力シート!L66)</f>
        <v/>
      </c>
      <c r="H38" s="455" t="str">
        <f>IF(基本情報入力シート!Q66="", "", 基本情報入力シート!Q66)</f>
        <v/>
      </c>
      <c r="I38" s="455" t="str">
        <f>IF(基本情報入力シート!V66="", "", 基本情報入力シート!V66)</f>
        <v/>
      </c>
      <c r="J38" s="455" t="str">
        <f>IF(基本情報入力シート!W66="", "", 基本情報入力シート!W66)</f>
        <v/>
      </c>
      <c r="K38" s="455" t="str">
        <f>IF(基本情報入力シート!Z66="", "", 基本情報入力シート!Z66)</f>
        <v/>
      </c>
      <c r="L38" s="101" t="str">
        <f>IF(基本情報入力シート!AF66=0, "",基本情報入力シート!AF66)</f>
        <v/>
      </c>
      <c r="M38" s="142" t="str">
        <f>IF(基本情報入力シート!AG66="","",基本情報入力シート!AG66)</f>
        <v/>
      </c>
      <c r="N38" s="136"/>
      <c r="O38" s="155" t="str">
        <f>IFERROR(VLOOKUP(K38,【参考】数式用!$A$2:$F$57,MATCH(N38,【参考】数式用!$C$3:$F$3,0)+2,0),"")</f>
        <v/>
      </c>
      <c r="P38" s="456" t="s">
        <v>180</v>
      </c>
      <c r="Q38" s="141"/>
      <c r="R38" s="457" t="s">
        <v>271</v>
      </c>
      <c r="S38" s="141"/>
      <c r="T38" s="457" t="s">
        <v>272</v>
      </c>
      <c r="U38" s="141"/>
      <c r="V38" s="457" t="s">
        <v>271</v>
      </c>
      <c r="W38" s="141"/>
      <c r="X38" s="457" t="s">
        <v>273</v>
      </c>
      <c r="Y38" s="457" t="s">
        <v>274</v>
      </c>
      <c r="Z38" s="457" t="str">
        <f t="shared" si="16"/>
        <v/>
      </c>
      <c r="AA38" s="458" t="s">
        <v>275</v>
      </c>
      <c r="AB38" s="459" t="str">
        <f t="shared" si="23"/>
        <v/>
      </c>
      <c r="AC38" s="460" t="str">
        <f>IFERROR(ROUNDDOWN(ROUNDDOWN(ROUND(L38*VLOOKUP(K38,【参考】数式用!$A$4:$F$57,MATCH("処遇改善加算Ⅳ",【参考】数式用!$C$3:$F$3,0)+2,0),0)*M38,0)*Z38*0.5,0), "")</f>
        <v/>
      </c>
      <c r="AD38" s="156"/>
      <c r="AE38" s="157"/>
      <c r="AF38" s="157"/>
      <c r="AG38" s="158"/>
      <c r="AH38" s="159"/>
      <c r="AI38" s="161"/>
      <c r="AJ38" s="161"/>
      <c r="AK38" s="542" t="str">
        <f t="shared" si="1"/>
        <v/>
      </c>
      <c r="AL38" s="543" t="str">
        <f t="shared" si="2"/>
        <v/>
      </c>
      <c r="AM38" s="544"/>
      <c r="AN38" s="548" t="str">
        <f>IFERROR(VLOOKUP(K38,【参考】数式用!$A$2:$N$57,14,FALSE),"")</f>
        <v/>
      </c>
      <c r="AO38" s="548" t="str">
        <f t="shared" si="3"/>
        <v/>
      </c>
      <c r="AP38" s="547" t="str">
        <f t="shared" si="4"/>
        <v/>
      </c>
      <c r="AQ38" s="547" t="str">
        <f t="shared" si="5"/>
        <v>入力済</v>
      </c>
      <c r="AR38" s="548" t="str">
        <f t="shared" si="6"/>
        <v/>
      </c>
      <c r="AS38" s="547" t="str">
        <f t="shared" si="7"/>
        <v>入力済</v>
      </c>
      <c r="AT38" s="547" t="str">
        <f t="shared" si="8"/>
        <v/>
      </c>
      <c r="AU38" s="547" t="str">
        <f t="shared" si="24"/>
        <v/>
      </c>
      <c r="AV38" s="548" t="str">
        <f t="shared" si="10"/>
        <v/>
      </c>
      <c r="AW38" s="548" t="str">
        <f t="shared" si="11"/>
        <v>入力済</v>
      </c>
      <c r="AX38" s="547" t="str">
        <f>IFERROR(VLOOKUP(K38,【参考】数式用!$AR$3:$AS$49,2, FALSE), "")</f>
        <v/>
      </c>
      <c r="AY38" s="548" t="str">
        <f t="shared" si="12"/>
        <v/>
      </c>
      <c r="AZ38" s="548" t="str">
        <f t="shared" si="13"/>
        <v>入力済</v>
      </c>
      <c r="BA38" s="547" t="str">
        <f>IFERROR(VLOOKUP(K38,【参考】数式用!$AX$3:$AY$56, 2, FALSE), "")</f>
        <v/>
      </c>
      <c r="BB38" s="548" t="str">
        <f t="shared" si="14"/>
        <v/>
      </c>
      <c r="BC38" s="648" t="str">
        <f t="shared" si="15"/>
        <v>入力済</v>
      </c>
      <c r="BD38" s="548" t="str">
        <f t="shared" si="17"/>
        <v/>
      </c>
      <c r="BE38" s="548" t="str">
        <f t="shared" si="0"/>
        <v/>
      </c>
      <c r="BH38" s="634" t="e">
        <f>VLOOKUP(K38,【参考】数式用!$A$2:$O$57,15,FALSE)</f>
        <v>#N/A</v>
      </c>
    </row>
    <row r="39" spans="1:67" s="550" customFormat="1" ht="109.9" customHeight="1" thickBot="1">
      <c r="A39" s="454">
        <v>28</v>
      </c>
      <c r="B39" s="933" t="str">
        <f>IF(基本情報入力シート!B67="","",基本情報入力シート!B67)</f>
        <v/>
      </c>
      <c r="C39" s="934"/>
      <c r="D39" s="934"/>
      <c r="E39" s="934"/>
      <c r="F39" s="935"/>
      <c r="G39" s="455" t="str">
        <f>IF(基本情報入力シート!L67="", "", 基本情報入力シート!L67)</f>
        <v/>
      </c>
      <c r="H39" s="455" t="str">
        <f>IF(基本情報入力シート!Q67="", "", 基本情報入力シート!Q67)</f>
        <v/>
      </c>
      <c r="I39" s="455" t="str">
        <f>IF(基本情報入力シート!V67="", "", 基本情報入力シート!V67)</f>
        <v/>
      </c>
      <c r="J39" s="455" t="str">
        <f>IF(基本情報入力シート!W67="", "", 基本情報入力シート!W67)</f>
        <v/>
      </c>
      <c r="K39" s="455" t="str">
        <f>IF(基本情報入力シート!Z67="", "", 基本情報入力シート!Z67)</f>
        <v/>
      </c>
      <c r="L39" s="101" t="str">
        <f>IF(基本情報入力シート!AF67=0, "",基本情報入力シート!AF67)</f>
        <v/>
      </c>
      <c r="M39" s="142" t="str">
        <f>IF(基本情報入力シート!AG67="","",基本情報入力シート!AG67)</f>
        <v/>
      </c>
      <c r="N39" s="136"/>
      <c r="O39" s="155" t="str">
        <f>IFERROR(VLOOKUP(K39,【参考】数式用!$A$2:$F$57,MATCH(N39,【参考】数式用!$C$3:$F$3,0)+2,0),"")</f>
        <v/>
      </c>
      <c r="P39" s="456" t="s">
        <v>180</v>
      </c>
      <c r="Q39" s="141"/>
      <c r="R39" s="457" t="s">
        <v>271</v>
      </c>
      <c r="S39" s="141"/>
      <c r="T39" s="457" t="s">
        <v>272</v>
      </c>
      <c r="U39" s="141"/>
      <c r="V39" s="457" t="s">
        <v>271</v>
      </c>
      <c r="W39" s="141"/>
      <c r="X39" s="457" t="s">
        <v>182</v>
      </c>
      <c r="Y39" s="457" t="s">
        <v>274</v>
      </c>
      <c r="Z39" s="457" t="str">
        <f t="shared" si="16"/>
        <v/>
      </c>
      <c r="AA39" s="458" t="s">
        <v>275</v>
      </c>
      <c r="AB39" s="459" t="str">
        <f t="shared" si="23"/>
        <v/>
      </c>
      <c r="AC39" s="460" t="str">
        <f>IFERROR(ROUNDDOWN(ROUNDDOWN(ROUND(L39*VLOOKUP(K39,【参考】数式用!$A$4:$F$57,MATCH("処遇改善加算Ⅳ",【参考】数式用!$C$3:$F$3,0)+2,0),0)*M39,0)*Z39*0.5,0), "")</f>
        <v/>
      </c>
      <c r="AD39" s="156"/>
      <c r="AE39" s="157"/>
      <c r="AF39" s="157"/>
      <c r="AG39" s="158"/>
      <c r="AH39" s="159"/>
      <c r="AI39" s="161"/>
      <c r="AJ39" s="161"/>
      <c r="AK39" s="542" t="str">
        <f t="shared" si="1"/>
        <v/>
      </c>
      <c r="AL39" s="543" t="str">
        <f t="shared" si="2"/>
        <v/>
      </c>
      <c r="AM39" s="544"/>
      <c r="AN39" s="548" t="str">
        <f>IFERROR(VLOOKUP(K39,【参考】数式用!$A$2:$N$57,14,FALSE),"")</f>
        <v/>
      </c>
      <c r="AO39" s="548" t="str">
        <f t="shared" si="3"/>
        <v/>
      </c>
      <c r="AP39" s="547" t="str">
        <f t="shared" si="4"/>
        <v/>
      </c>
      <c r="AQ39" s="547" t="str">
        <f t="shared" si="5"/>
        <v>入力済</v>
      </c>
      <c r="AR39" s="548" t="str">
        <f t="shared" si="6"/>
        <v/>
      </c>
      <c r="AS39" s="547" t="str">
        <f t="shared" si="7"/>
        <v>入力済</v>
      </c>
      <c r="AT39" s="547" t="str">
        <f t="shared" si="8"/>
        <v/>
      </c>
      <c r="AU39" s="547" t="str">
        <f t="shared" si="24"/>
        <v/>
      </c>
      <c r="AV39" s="548" t="str">
        <f t="shared" si="10"/>
        <v/>
      </c>
      <c r="AW39" s="548" t="str">
        <f t="shared" si="11"/>
        <v>入力済</v>
      </c>
      <c r="AX39" s="547" t="str">
        <f>IFERROR(VLOOKUP(K39,【参考】数式用!$AR$3:$AS$49,2, FALSE), "")</f>
        <v/>
      </c>
      <c r="AY39" s="548" t="str">
        <f t="shared" si="12"/>
        <v/>
      </c>
      <c r="AZ39" s="548" t="str">
        <f t="shared" si="13"/>
        <v>入力済</v>
      </c>
      <c r="BA39" s="547" t="str">
        <f>IFERROR(VLOOKUP(K39,【参考】数式用!$AX$3:$AY$56, 2, FALSE), "")</f>
        <v/>
      </c>
      <c r="BB39" s="548" t="str">
        <f t="shared" si="14"/>
        <v/>
      </c>
      <c r="BC39" s="648" t="str">
        <f t="shared" si="15"/>
        <v>入力済</v>
      </c>
      <c r="BD39" s="548" t="str">
        <f t="shared" si="17"/>
        <v/>
      </c>
      <c r="BE39" s="548" t="str">
        <f t="shared" si="0"/>
        <v/>
      </c>
      <c r="BH39" s="634" t="e">
        <f>VLOOKUP(K39,【参考】数式用!$A$2:$O$57,15,FALSE)</f>
        <v>#N/A</v>
      </c>
    </row>
    <row r="40" spans="1:67" s="550" customFormat="1" ht="109.9" customHeight="1" thickBot="1">
      <c r="A40" s="454">
        <v>29</v>
      </c>
      <c r="B40" s="933" t="str">
        <f>IF(基本情報入力シート!B68="","",基本情報入力シート!B68)</f>
        <v/>
      </c>
      <c r="C40" s="934"/>
      <c r="D40" s="934"/>
      <c r="E40" s="934"/>
      <c r="F40" s="935"/>
      <c r="G40" s="455" t="str">
        <f>IF(基本情報入力シート!L68="", "", 基本情報入力シート!L68)</f>
        <v/>
      </c>
      <c r="H40" s="455" t="str">
        <f>IF(基本情報入力シート!Q68="", "", 基本情報入力シート!Q68)</f>
        <v/>
      </c>
      <c r="I40" s="455" t="str">
        <f>IF(基本情報入力シート!V68="", "", 基本情報入力シート!V68)</f>
        <v/>
      </c>
      <c r="J40" s="455" t="str">
        <f>IF(基本情報入力シート!W68="", "", 基本情報入力シート!W68)</f>
        <v/>
      </c>
      <c r="K40" s="455" t="str">
        <f>IF(基本情報入力シート!Z68="", "", 基本情報入力シート!Z68)</f>
        <v/>
      </c>
      <c r="L40" s="101" t="str">
        <f>IF(基本情報入力シート!AF68=0, "",基本情報入力シート!AF68)</f>
        <v/>
      </c>
      <c r="M40" s="142" t="str">
        <f>IF(基本情報入力シート!AG68="","",基本情報入力シート!AG68)</f>
        <v/>
      </c>
      <c r="N40" s="136"/>
      <c r="O40" s="155" t="str">
        <f>IFERROR(VLOOKUP(K40,【参考】数式用!$A$2:$F$57,MATCH(N40,【参考】数式用!$C$3:$F$3,0)+2,0),"")</f>
        <v/>
      </c>
      <c r="P40" s="456" t="s">
        <v>180</v>
      </c>
      <c r="Q40" s="141"/>
      <c r="R40" s="457" t="s">
        <v>271</v>
      </c>
      <c r="S40" s="141"/>
      <c r="T40" s="457" t="s">
        <v>272</v>
      </c>
      <c r="U40" s="141"/>
      <c r="V40" s="457" t="s">
        <v>271</v>
      </c>
      <c r="W40" s="141"/>
      <c r="X40" s="457" t="s">
        <v>273</v>
      </c>
      <c r="Y40" s="457" t="s">
        <v>274</v>
      </c>
      <c r="Z40" s="457" t="str">
        <f t="shared" si="16"/>
        <v/>
      </c>
      <c r="AA40" s="458" t="s">
        <v>275</v>
      </c>
      <c r="AB40" s="459" t="str">
        <f t="shared" si="23"/>
        <v/>
      </c>
      <c r="AC40" s="460" t="str">
        <f>IFERROR(ROUNDDOWN(ROUNDDOWN(ROUND(L40*VLOOKUP(K40,【参考】数式用!$A$4:$F$57,MATCH("処遇改善加算Ⅳ",【参考】数式用!$C$3:$F$3,0)+2,0),0)*M40,0)*Z40*0.5,0), "")</f>
        <v/>
      </c>
      <c r="AD40" s="156"/>
      <c r="AE40" s="157"/>
      <c r="AF40" s="157"/>
      <c r="AG40" s="158"/>
      <c r="AH40" s="159"/>
      <c r="AI40" s="161"/>
      <c r="AJ40" s="161"/>
      <c r="AK40" s="542" t="str">
        <f t="shared" si="1"/>
        <v/>
      </c>
      <c r="AL40" s="543" t="str">
        <f t="shared" si="2"/>
        <v/>
      </c>
      <c r="AM40" s="544"/>
      <c r="AN40" s="548" t="str">
        <f>IFERROR(VLOOKUP(K40,【参考】数式用!$A$2:$N$57,14,FALSE),"")</f>
        <v/>
      </c>
      <c r="AO40" s="548" t="str">
        <f t="shared" si="3"/>
        <v/>
      </c>
      <c r="AP40" s="547" t="str">
        <f t="shared" si="4"/>
        <v/>
      </c>
      <c r="AQ40" s="547" t="str">
        <f t="shared" si="5"/>
        <v>入力済</v>
      </c>
      <c r="AR40" s="548" t="str">
        <f t="shared" si="6"/>
        <v/>
      </c>
      <c r="AS40" s="547" t="str">
        <f t="shared" si="7"/>
        <v>入力済</v>
      </c>
      <c r="AT40" s="547" t="str">
        <f t="shared" si="8"/>
        <v/>
      </c>
      <c r="AU40" s="547" t="str">
        <f t="shared" si="24"/>
        <v/>
      </c>
      <c r="AV40" s="548" t="str">
        <f t="shared" si="10"/>
        <v/>
      </c>
      <c r="AW40" s="548" t="str">
        <f t="shared" si="11"/>
        <v>入力済</v>
      </c>
      <c r="AX40" s="547" t="str">
        <f>IFERROR(VLOOKUP(K40,【参考】数式用!$AR$3:$AS$49,2, FALSE), "")</f>
        <v/>
      </c>
      <c r="AY40" s="548" t="str">
        <f t="shared" si="12"/>
        <v/>
      </c>
      <c r="AZ40" s="548" t="str">
        <f t="shared" si="13"/>
        <v>入力済</v>
      </c>
      <c r="BA40" s="547" t="str">
        <f>IFERROR(VLOOKUP(K40,【参考】数式用!$AX$3:$AY$56, 2, FALSE), "")</f>
        <v/>
      </c>
      <c r="BB40" s="548" t="str">
        <f t="shared" si="14"/>
        <v/>
      </c>
      <c r="BC40" s="648" t="str">
        <f t="shared" si="15"/>
        <v>入力済</v>
      </c>
      <c r="BD40" s="548" t="str">
        <f t="shared" si="17"/>
        <v/>
      </c>
      <c r="BE40" s="548" t="str">
        <f t="shared" si="0"/>
        <v/>
      </c>
      <c r="BH40" s="634" t="e">
        <f>VLOOKUP(K40,【参考】数式用!$A$2:$O$57,15,FALSE)</f>
        <v>#N/A</v>
      </c>
    </row>
    <row r="41" spans="1:67" s="517" customFormat="1" ht="109.9" customHeight="1" thickBot="1">
      <c r="A41" s="454">
        <v>30</v>
      </c>
      <c r="B41" s="933" t="str">
        <f>IF(基本情報入力シート!B69="","",基本情報入力シート!B69)</f>
        <v/>
      </c>
      <c r="C41" s="934"/>
      <c r="D41" s="934"/>
      <c r="E41" s="934"/>
      <c r="F41" s="935"/>
      <c r="G41" s="455" t="str">
        <f>IF(基本情報入力シート!L69="", "", 基本情報入力シート!L69)</f>
        <v/>
      </c>
      <c r="H41" s="455" t="str">
        <f>IF(基本情報入力シート!Q69="", "", 基本情報入力シート!Q69)</f>
        <v/>
      </c>
      <c r="I41" s="455" t="str">
        <f>IF(基本情報入力シート!V69="", "", 基本情報入力シート!V69)</f>
        <v/>
      </c>
      <c r="J41" s="455" t="str">
        <f>IF(基本情報入力シート!W69="", "", 基本情報入力シート!W69)</f>
        <v/>
      </c>
      <c r="K41" s="455" t="str">
        <f>IF(基本情報入力シート!Z69="", "", 基本情報入力シート!Z69)</f>
        <v/>
      </c>
      <c r="L41" s="101" t="str">
        <f>IF(基本情報入力シート!AF69=0, "",基本情報入力シート!AF69)</f>
        <v/>
      </c>
      <c r="M41" s="142" t="str">
        <f>IF(基本情報入力シート!AG69="","",基本情報入力シート!AG69)</f>
        <v/>
      </c>
      <c r="N41" s="136"/>
      <c r="O41" s="155" t="str">
        <f>IFERROR(VLOOKUP(K41,【参考】数式用!$A$2:$F$57,MATCH(N41,【参考】数式用!$C$3:$F$3,0)+2,0),"")</f>
        <v/>
      </c>
      <c r="P41" s="456" t="s">
        <v>180</v>
      </c>
      <c r="Q41" s="141"/>
      <c r="R41" s="457" t="s">
        <v>271</v>
      </c>
      <c r="S41" s="141"/>
      <c r="T41" s="457" t="s">
        <v>272</v>
      </c>
      <c r="U41" s="141"/>
      <c r="V41" s="457" t="s">
        <v>271</v>
      </c>
      <c r="W41" s="141"/>
      <c r="X41" s="457" t="s">
        <v>273</v>
      </c>
      <c r="Y41" s="457" t="s">
        <v>274</v>
      </c>
      <c r="Z41" s="457" t="str">
        <f t="shared" si="16"/>
        <v/>
      </c>
      <c r="AA41" s="458" t="s">
        <v>275</v>
      </c>
      <c r="AB41" s="459" t="str">
        <f t="shared" si="23"/>
        <v/>
      </c>
      <c r="AC41" s="460" t="str">
        <f>IFERROR(ROUNDDOWN(ROUNDDOWN(ROUND(L41*VLOOKUP(K41,【参考】数式用!$A$4:$F$57,MATCH("処遇改善加算Ⅳ",【参考】数式用!$C$3:$F$3,0)+2,0),0)*M41,0)*Z41*0.5,0), "")</f>
        <v/>
      </c>
      <c r="AD41" s="156"/>
      <c r="AE41" s="157"/>
      <c r="AF41" s="157"/>
      <c r="AG41" s="158"/>
      <c r="AH41" s="159"/>
      <c r="AI41" s="161"/>
      <c r="AJ41" s="161"/>
      <c r="AK41" s="542" t="str">
        <f t="shared" si="1"/>
        <v/>
      </c>
      <c r="AL41" s="543" t="str">
        <f t="shared" si="2"/>
        <v/>
      </c>
      <c r="AM41" s="544"/>
      <c r="AN41" s="548" t="str">
        <f>IFERROR(VLOOKUP(K41,【参考】数式用!$A$2:$N$57,14,FALSE),"")</f>
        <v/>
      </c>
      <c r="AO41" s="548" t="str">
        <f t="shared" si="3"/>
        <v/>
      </c>
      <c r="AP41" s="547" t="str">
        <f t="shared" si="4"/>
        <v/>
      </c>
      <c r="AQ41" s="547" t="str">
        <f t="shared" si="5"/>
        <v>入力済</v>
      </c>
      <c r="AR41" s="548" t="str">
        <f t="shared" si="6"/>
        <v/>
      </c>
      <c r="AS41" s="547" t="str">
        <f t="shared" si="7"/>
        <v>入力済</v>
      </c>
      <c r="AT41" s="547" t="str">
        <f t="shared" si="8"/>
        <v/>
      </c>
      <c r="AU41" s="547" t="str">
        <f t="shared" si="24"/>
        <v/>
      </c>
      <c r="AV41" s="548" t="str">
        <f t="shared" si="10"/>
        <v/>
      </c>
      <c r="AW41" s="548" t="str">
        <f t="shared" si="11"/>
        <v>入力済</v>
      </c>
      <c r="AX41" s="547" t="str">
        <f>IFERROR(VLOOKUP(K41,【参考】数式用!$AR$3:$AS$49,2, FALSE), "")</f>
        <v/>
      </c>
      <c r="AY41" s="548" t="str">
        <f t="shared" si="12"/>
        <v/>
      </c>
      <c r="AZ41" s="548" t="str">
        <f t="shared" si="13"/>
        <v>入力済</v>
      </c>
      <c r="BA41" s="547" t="str">
        <f>IFERROR(VLOOKUP(K41,【参考】数式用!$AX$3:$AY$56, 2, FALSE), "")</f>
        <v/>
      </c>
      <c r="BB41" s="548" t="str">
        <f t="shared" si="14"/>
        <v/>
      </c>
      <c r="BC41" s="648" t="str">
        <f t="shared" si="15"/>
        <v>入力済</v>
      </c>
      <c r="BD41" s="548" t="str">
        <f t="shared" si="17"/>
        <v/>
      </c>
      <c r="BE41" s="548" t="str">
        <f t="shared" si="0"/>
        <v/>
      </c>
      <c r="BF41" s="515"/>
      <c r="BG41" s="515"/>
      <c r="BH41" s="634" t="e">
        <f>VLOOKUP(K41,【参考】数式用!$A$2:$O$57,15,FALSE)</f>
        <v>#N/A</v>
      </c>
      <c r="BI41" s="515"/>
      <c r="BJ41" s="515"/>
      <c r="BK41" s="515"/>
      <c r="BL41" s="515"/>
      <c r="BM41" s="515"/>
      <c r="BN41" s="515"/>
      <c r="BO41" s="516"/>
    </row>
    <row r="42" spans="1:67" s="517" customFormat="1" ht="109.9" customHeight="1" thickBot="1">
      <c r="A42" s="454">
        <v>31</v>
      </c>
      <c r="B42" s="933" t="str">
        <f>IF(基本情報入力シート!B70="","",基本情報入力シート!B70)</f>
        <v/>
      </c>
      <c r="C42" s="934"/>
      <c r="D42" s="934"/>
      <c r="E42" s="934"/>
      <c r="F42" s="935"/>
      <c r="G42" s="455" t="str">
        <f>IF(基本情報入力シート!L70="", "", 基本情報入力シート!L70)</f>
        <v/>
      </c>
      <c r="H42" s="455" t="str">
        <f>IF(基本情報入力シート!Q70="", "", 基本情報入力シート!Q70)</f>
        <v/>
      </c>
      <c r="I42" s="455" t="str">
        <f>IF(基本情報入力シート!V70="", "", 基本情報入力シート!V70)</f>
        <v/>
      </c>
      <c r="J42" s="455" t="str">
        <f>IF(基本情報入力シート!W70="", "", 基本情報入力シート!W70)</f>
        <v/>
      </c>
      <c r="K42" s="455" t="str">
        <f>IF(基本情報入力シート!Z70="", "", 基本情報入力シート!Z70)</f>
        <v/>
      </c>
      <c r="L42" s="101" t="str">
        <f>IF(基本情報入力シート!AF70=0, "",基本情報入力シート!AF70)</f>
        <v/>
      </c>
      <c r="M42" s="142" t="str">
        <f>IF(基本情報入力シート!AG70="","",基本情報入力シート!AG70)</f>
        <v/>
      </c>
      <c r="N42" s="136"/>
      <c r="O42" s="155" t="str">
        <f>IFERROR(VLOOKUP(K42,【参考】数式用!$A$2:$F$57,MATCH(N42,【参考】数式用!$C$3:$F$3,0)+2,0),"")</f>
        <v/>
      </c>
      <c r="P42" s="456" t="s">
        <v>180</v>
      </c>
      <c r="Q42" s="141"/>
      <c r="R42" s="457" t="s">
        <v>271</v>
      </c>
      <c r="S42" s="141"/>
      <c r="T42" s="457" t="s">
        <v>272</v>
      </c>
      <c r="U42" s="141"/>
      <c r="V42" s="457" t="s">
        <v>271</v>
      </c>
      <c r="W42" s="141"/>
      <c r="X42" s="457" t="s">
        <v>273</v>
      </c>
      <c r="Y42" s="457" t="s">
        <v>274</v>
      </c>
      <c r="Z42" s="457" t="str">
        <f t="shared" si="16"/>
        <v/>
      </c>
      <c r="AA42" s="458" t="s">
        <v>275</v>
      </c>
      <c r="AB42" s="459" t="str">
        <f t="shared" si="23"/>
        <v/>
      </c>
      <c r="AC42" s="460" t="str">
        <f>IFERROR(ROUNDDOWN(ROUNDDOWN(ROUND(L42*VLOOKUP(K42,【参考】数式用!$A$4:$F$57,MATCH("処遇改善加算Ⅳ",【参考】数式用!$C$3:$F$3,0)+2,0),0)*M42,0)*Z42*0.5,0), "")</f>
        <v/>
      </c>
      <c r="AD42" s="156"/>
      <c r="AE42" s="157"/>
      <c r="AF42" s="157"/>
      <c r="AG42" s="158"/>
      <c r="AH42" s="159"/>
      <c r="AI42" s="161"/>
      <c r="AJ42" s="161"/>
      <c r="AK42" s="542" t="str">
        <f t="shared" si="1"/>
        <v/>
      </c>
      <c r="AL42" s="543" t="str">
        <f t="shared" si="2"/>
        <v/>
      </c>
      <c r="AM42" s="544"/>
      <c r="AN42" s="548" t="str">
        <f>IFERROR(VLOOKUP(K42,【参考】数式用!$A$2:$N$57,14,FALSE),"")</f>
        <v/>
      </c>
      <c r="AO42" s="548" t="str">
        <f t="shared" si="3"/>
        <v/>
      </c>
      <c r="AP42" s="547" t="str">
        <f t="shared" si="4"/>
        <v/>
      </c>
      <c r="AQ42" s="547" t="str">
        <f t="shared" si="5"/>
        <v>入力済</v>
      </c>
      <c r="AR42" s="548" t="str">
        <f t="shared" si="6"/>
        <v/>
      </c>
      <c r="AS42" s="547" t="str">
        <f t="shared" si="7"/>
        <v>入力済</v>
      </c>
      <c r="AT42" s="547" t="str">
        <f t="shared" si="8"/>
        <v/>
      </c>
      <c r="AU42" s="547" t="str">
        <f t="shared" si="24"/>
        <v/>
      </c>
      <c r="AV42" s="548" t="str">
        <f t="shared" si="10"/>
        <v/>
      </c>
      <c r="AW42" s="548" t="str">
        <f t="shared" si="11"/>
        <v>入力済</v>
      </c>
      <c r="AX42" s="547" t="str">
        <f>IFERROR(VLOOKUP(K42,【参考】数式用!$AR$3:$AS$49,2, FALSE), "")</f>
        <v/>
      </c>
      <c r="AY42" s="548" t="str">
        <f t="shared" si="12"/>
        <v/>
      </c>
      <c r="AZ42" s="548" t="str">
        <f t="shared" si="13"/>
        <v>入力済</v>
      </c>
      <c r="BA42" s="547" t="str">
        <f>IFERROR(VLOOKUP(K42,【参考】数式用!$AX$3:$AY$56, 2, FALSE), "")</f>
        <v/>
      </c>
      <c r="BB42" s="548" t="str">
        <f t="shared" si="14"/>
        <v/>
      </c>
      <c r="BC42" s="648" t="str">
        <f t="shared" si="15"/>
        <v>入力済</v>
      </c>
      <c r="BD42" s="548" t="str">
        <f t="shared" si="17"/>
        <v/>
      </c>
      <c r="BE42" s="548" t="str">
        <f t="shared" si="0"/>
        <v/>
      </c>
      <c r="BF42" s="515"/>
      <c r="BG42" s="515"/>
      <c r="BH42" s="634" t="e">
        <f>VLOOKUP(K42,【参考】数式用!$A$2:$O$57,15,FALSE)</f>
        <v>#N/A</v>
      </c>
      <c r="BI42" s="515"/>
      <c r="BJ42" s="515"/>
      <c r="BK42" s="515"/>
      <c r="BL42" s="515"/>
      <c r="BM42" s="515"/>
      <c r="BN42" s="515"/>
      <c r="BO42" s="516"/>
    </row>
    <row r="43" spans="1:67" s="517" customFormat="1" ht="109.9" customHeight="1" thickBot="1">
      <c r="A43" s="454">
        <v>32</v>
      </c>
      <c r="B43" s="933" t="str">
        <f>IF(基本情報入力シート!B71="","",基本情報入力シート!B71)</f>
        <v/>
      </c>
      <c r="C43" s="934"/>
      <c r="D43" s="934"/>
      <c r="E43" s="934"/>
      <c r="F43" s="935"/>
      <c r="G43" s="455" t="str">
        <f>IF(基本情報入力シート!L71="", "", 基本情報入力シート!L71)</f>
        <v/>
      </c>
      <c r="H43" s="455" t="str">
        <f>IF(基本情報入力シート!Q71="", "", 基本情報入力シート!Q71)</f>
        <v/>
      </c>
      <c r="I43" s="455" t="str">
        <f>IF(基本情報入力シート!V71="", "", 基本情報入力シート!V71)</f>
        <v/>
      </c>
      <c r="J43" s="455" t="str">
        <f>IF(基本情報入力シート!W71="", "", 基本情報入力シート!W71)</f>
        <v/>
      </c>
      <c r="K43" s="455" t="str">
        <f>IF(基本情報入力シート!Z71="", "", 基本情報入力シート!Z71)</f>
        <v/>
      </c>
      <c r="L43" s="101" t="str">
        <f>IF(基本情報入力シート!AF71=0, "",基本情報入力シート!AF71)</f>
        <v/>
      </c>
      <c r="M43" s="142" t="str">
        <f>IF(基本情報入力シート!AG71="","",基本情報入力シート!AG71)</f>
        <v/>
      </c>
      <c r="N43" s="136"/>
      <c r="O43" s="155" t="str">
        <f>IFERROR(VLOOKUP(K43,【参考】数式用!$A$2:$F$57,MATCH(N43,【参考】数式用!$C$3:$F$3,0)+2,0),"")</f>
        <v/>
      </c>
      <c r="P43" s="456" t="s">
        <v>180</v>
      </c>
      <c r="Q43" s="141"/>
      <c r="R43" s="457" t="s">
        <v>271</v>
      </c>
      <c r="S43" s="141"/>
      <c r="T43" s="457" t="s">
        <v>272</v>
      </c>
      <c r="U43" s="141"/>
      <c r="V43" s="457" t="s">
        <v>271</v>
      </c>
      <c r="W43" s="141"/>
      <c r="X43" s="457" t="s">
        <v>182</v>
      </c>
      <c r="Y43" s="457" t="s">
        <v>274</v>
      </c>
      <c r="Z43" s="457" t="str">
        <f t="shared" si="16"/>
        <v/>
      </c>
      <c r="AA43" s="458" t="s">
        <v>275</v>
      </c>
      <c r="AB43" s="459" t="str">
        <f t="shared" si="23"/>
        <v/>
      </c>
      <c r="AC43" s="460" t="str">
        <f>IFERROR(ROUNDDOWN(ROUNDDOWN(ROUND(L43*VLOOKUP(K43,【参考】数式用!$A$4:$F$57,MATCH("処遇改善加算Ⅳ",【参考】数式用!$C$3:$F$3,0)+2,0),0)*M43,0)*Z43*0.5,0), "")</f>
        <v/>
      </c>
      <c r="AD43" s="156"/>
      <c r="AE43" s="157"/>
      <c r="AF43" s="157"/>
      <c r="AG43" s="158"/>
      <c r="AH43" s="159"/>
      <c r="AI43" s="161"/>
      <c r="AJ43" s="161"/>
      <c r="AK43" s="542" t="str">
        <f t="shared" si="1"/>
        <v/>
      </c>
      <c r="AL43" s="543" t="str">
        <f t="shared" si="2"/>
        <v/>
      </c>
      <c r="AM43" s="544"/>
      <c r="AN43" s="548" t="str">
        <f>IFERROR(VLOOKUP(K43,【参考】数式用!$A$2:$N$57,14,FALSE),"")</f>
        <v/>
      </c>
      <c r="AO43" s="548" t="str">
        <f t="shared" si="3"/>
        <v/>
      </c>
      <c r="AP43" s="547" t="str">
        <f t="shared" si="4"/>
        <v/>
      </c>
      <c r="AQ43" s="547" t="str">
        <f t="shared" si="5"/>
        <v>入力済</v>
      </c>
      <c r="AR43" s="548" t="str">
        <f t="shared" si="6"/>
        <v/>
      </c>
      <c r="AS43" s="547" t="str">
        <f t="shared" si="7"/>
        <v>入力済</v>
      </c>
      <c r="AT43" s="547" t="str">
        <f t="shared" si="8"/>
        <v/>
      </c>
      <c r="AU43" s="547" t="str">
        <f t="shared" si="24"/>
        <v/>
      </c>
      <c r="AV43" s="548" t="str">
        <f t="shared" si="10"/>
        <v/>
      </c>
      <c r="AW43" s="548" t="str">
        <f t="shared" si="11"/>
        <v>入力済</v>
      </c>
      <c r="AX43" s="547" t="str">
        <f>IFERROR(VLOOKUP(K43,【参考】数式用!$AR$3:$AS$49,2, FALSE), "")</f>
        <v/>
      </c>
      <c r="AY43" s="548" t="str">
        <f t="shared" si="12"/>
        <v/>
      </c>
      <c r="AZ43" s="548" t="str">
        <f t="shared" si="13"/>
        <v>入力済</v>
      </c>
      <c r="BA43" s="547" t="str">
        <f>IFERROR(VLOOKUP(K43,【参考】数式用!$AX$3:$AY$56, 2, FALSE), "")</f>
        <v/>
      </c>
      <c r="BB43" s="548" t="str">
        <f t="shared" si="14"/>
        <v/>
      </c>
      <c r="BC43" s="648" t="str">
        <f t="shared" si="15"/>
        <v>入力済</v>
      </c>
      <c r="BD43" s="548" t="str">
        <f t="shared" si="17"/>
        <v/>
      </c>
      <c r="BE43" s="548" t="str">
        <f t="shared" si="0"/>
        <v/>
      </c>
      <c r="BF43" s="515"/>
      <c r="BG43" s="515"/>
      <c r="BH43" s="634" t="e">
        <f>VLOOKUP(K43,【参考】数式用!$A$2:$O$57,15,FALSE)</f>
        <v>#N/A</v>
      </c>
      <c r="BI43" s="515"/>
      <c r="BJ43" s="515"/>
      <c r="BK43" s="515"/>
      <c r="BL43" s="515"/>
      <c r="BM43" s="515"/>
      <c r="BN43" s="515"/>
      <c r="BO43" s="516"/>
    </row>
    <row r="44" spans="1:67" s="517" customFormat="1" ht="109.9" customHeight="1" thickBot="1">
      <c r="A44" s="454">
        <v>33</v>
      </c>
      <c r="B44" s="933" t="str">
        <f>IF(基本情報入力シート!B72="","",基本情報入力シート!B72)</f>
        <v/>
      </c>
      <c r="C44" s="934"/>
      <c r="D44" s="934"/>
      <c r="E44" s="934"/>
      <c r="F44" s="935"/>
      <c r="G44" s="455" t="str">
        <f>IF(基本情報入力シート!L72="", "", 基本情報入力シート!L72)</f>
        <v/>
      </c>
      <c r="H44" s="455" t="str">
        <f>IF(基本情報入力シート!Q72="", "", 基本情報入力シート!Q72)</f>
        <v/>
      </c>
      <c r="I44" s="455" t="str">
        <f>IF(基本情報入力シート!V72="", "", 基本情報入力シート!V72)</f>
        <v/>
      </c>
      <c r="J44" s="455" t="str">
        <f>IF(基本情報入力シート!W72="", "", 基本情報入力シート!W72)</f>
        <v/>
      </c>
      <c r="K44" s="455" t="str">
        <f>IF(基本情報入力シート!Z72="", "", 基本情報入力シート!Z72)</f>
        <v/>
      </c>
      <c r="L44" s="101" t="str">
        <f>IF(基本情報入力シート!AF72=0, "",基本情報入力シート!AF72)</f>
        <v/>
      </c>
      <c r="M44" s="142" t="str">
        <f>IF(基本情報入力シート!AG72="","",基本情報入力シート!AG72)</f>
        <v/>
      </c>
      <c r="N44" s="136"/>
      <c r="O44" s="155" t="str">
        <f>IFERROR(VLOOKUP(K44,【参考】数式用!$A$2:$F$57,MATCH(N44,【参考】数式用!$C$3:$F$3,0)+2,0),"")</f>
        <v/>
      </c>
      <c r="P44" s="456" t="s">
        <v>180</v>
      </c>
      <c r="Q44" s="141"/>
      <c r="R44" s="457" t="s">
        <v>271</v>
      </c>
      <c r="S44" s="141"/>
      <c r="T44" s="457" t="s">
        <v>272</v>
      </c>
      <c r="U44" s="141"/>
      <c r="V44" s="457" t="s">
        <v>271</v>
      </c>
      <c r="W44" s="141"/>
      <c r="X44" s="457" t="s">
        <v>182</v>
      </c>
      <c r="Y44" s="457" t="s">
        <v>274</v>
      </c>
      <c r="Z44" s="457" t="str">
        <f t="shared" si="16"/>
        <v/>
      </c>
      <c r="AA44" s="458" t="s">
        <v>275</v>
      </c>
      <c r="AB44" s="459" t="str">
        <f t="shared" si="23"/>
        <v/>
      </c>
      <c r="AC44" s="460" t="str">
        <f>IFERROR(ROUNDDOWN(ROUNDDOWN(ROUND(L44*VLOOKUP(K44,【参考】数式用!$A$4:$F$57,MATCH("処遇改善加算Ⅳ",【参考】数式用!$C$3:$F$3,0)+2,0),0)*M44,0)*Z44*0.5,0), "")</f>
        <v/>
      </c>
      <c r="AD44" s="156"/>
      <c r="AE44" s="157"/>
      <c r="AF44" s="157"/>
      <c r="AG44" s="158"/>
      <c r="AH44" s="159"/>
      <c r="AI44" s="161"/>
      <c r="AJ44" s="161"/>
      <c r="AK44" s="542" t="str">
        <f t="shared" si="1"/>
        <v/>
      </c>
      <c r="AL44" s="543" t="str">
        <f t="shared" si="2"/>
        <v/>
      </c>
      <c r="AM44" s="544"/>
      <c r="AN44" s="548" t="str">
        <f>IFERROR(VLOOKUP(K44,【参考】数式用!$A$2:$N$57,14,FALSE),"")</f>
        <v/>
      </c>
      <c r="AO44" s="548" t="str">
        <f t="shared" si="3"/>
        <v/>
      </c>
      <c r="AP44" s="547" t="str">
        <f t="shared" si="4"/>
        <v/>
      </c>
      <c r="AQ44" s="547" t="str">
        <f t="shared" si="5"/>
        <v>入力済</v>
      </c>
      <c r="AR44" s="548" t="str">
        <f t="shared" si="6"/>
        <v/>
      </c>
      <c r="AS44" s="547" t="str">
        <f t="shared" si="7"/>
        <v>入力済</v>
      </c>
      <c r="AT44" s="547" t="str">
        <f t="shared" si="8"/>
        <v/>
      </c>
      <c r="AU44" s="547" t="str">
        <f t="shared" si="24"/>
        <v/>
      </c>
      <c r="AV44" s="548" t="str">
        <f t="shared" si="10"/>
        <v/>
      </c>
      <c r="AW44" s="548" t="str">
        <f t="shared" si="11"/>
        <v>入力済</v>
      </c>
      <c r="AX44" s="547" t="str">
        <f>IFERROR(VLOOKUP(K44,【参考】数式用!$AR$3:$AS$49,2, FALSE), "")</f>
        <v/>
      </c>
      <c r="AY44" s="548" t="str">
        <f t="shared" si="12"/>
        <v/>
      </c>
      <c r="AZ44" s="548" t="str">
        <f t="shared" si="13"/>
        <v>入力済</v>
      </c>
      <c r="BA44" s="547" t="str">
        <f>IFERROR(VLOOKUP(K44,【参考】数式用!$AX$3:$AY$56, 2, FALSE), "")</f>
        <v/>
      </c>
      <c r="BB44" s="548" t="str">
        <f t="shared" ref="BB44:BB75" si="25">IF(COUNTIF(AE44:AH44,"*令和８年度特例要件を*")&gt;0,"AJ列に色付け","")</f>
        <v/>
      </c>
      <c r="BC44" s="648" t="str">
        <f t="shared" si="15"/>
        <v>入力済</v>
      </c>
      <c r="BD44" s="548" t="str">
        <f t="shared" si="17"/>
        <v/>
      </c>
      <c r="BE44" s="548" t="str">
        <f t="shared" ref="BE44:BE77" si="26">G44</f>
        <v/>
      </c>
      <c r="BF44" s="515"/>
      <c r="BG44" s="515"/>
      <c r="BH44" s="634" t="e">
        <f>VLOOKUP(K44,【参考】数式用!$A$2:$O$57,15,FALSE)</f>
        <v>#N/A</v>
      </c>
      <c r="BI44" s="515"/>
      <c r="BJ44" s="515"/>
      <c r="BK44" s="515"/>
      <c r="BL44" s="515"/>
      <c r="BM44" s="515"/>
      <c r="BN44" s="515"/>
      <c r="BO44" s="516"/>
    </row>
    <row r="45" spans="1:67" s="517" customFormat="1" ht="109.9" customHeight="1" thickBot="1">
      <c r="A45" s="454">
        <v>34</v>
      </c>
      <c r="B45" s="933" t="str">
        <f>IF(基本情報入力シート!B73="","",基本情報入力シート!B73)</f>
        <v/>
      </c>
      <c r="C45" s="934"/>
      <c r="D45" s="934"/>
      <c r="E45" s="934"/>
      <c r="F45" s="935"/>
      <c r="G45" s="455" t="str">
        <f>IF(基本情報入力シート!L73="", "", 基本情報入力シート!L73)</f>
        <v/>
      </c>
      <c r="H45" s="455" t="str">
        <f>IF(基本情報入力シート!Q73="", "", 基本情報入力シート!Q73)</f>
        <v/>
      </c>
      <c r="I45" s="455" t="str">
        <f>IF(基本情報入力シート!V73="", "", 基本情報入力シート!V73)</f>
        <v/>
      </c>
      <c r="J45" s="455" t="str">
        <f>IF(基本情報入力シート!W73="", "", 基本情報入力シート!W73)</f>
        <v/>
      </c>
      <c r="K45" s="455" t="str">
        <f>IF(基本情報入力シート!Z73="", "", 基本情報入力シート!Z73)</f>
        <v/>
      </c>
      <c r="L45" s="101" t="str">
        <f>IF(基本情報入力シート!AF73=0, "",基本情報入力シート!AF73)</f>
        <v/>
      </c>
      <c r="M45" s="142" t="str">
        <f>IF(基本情報入力シート!AG73="","",基本情報入力シート!AG73)</f>
        <v/>
      </c>
      <c r="N45" s="136"/>
      <c r="O45" s="155" t="str">
        <f>IFERROR(VLOOKUP(K45,【参考】数式用!$A$2:$F$57,MATCH(N45,【参考】数式用!$C$3:$F$3,0)+2,0),"")</f>
        <v/>
      </c>
      <c r="P45" s="456" t="s">
        <v>180</v>
      </c>
      <c r="Q45" s="141"/>
      <c r="R45" s="457" t="s">
        <v>271</v>
      </c>
      <c r="S45" s="141"/>
      <c r="T45" s="457" t="s">
        <v>272</v>
      </c>
      <c r="U45" s="141"/>
      <c r="V45" s="457" t="s">
        <v>271</v>
      </c>
      <c r="W45" s="141"/>
      <c r="X45" s="457" t="s">
        <v>273</v>
      </c>
      <c r="Y45" s="457" t="s">
        <v>274</v>
      </c>
      <c r="Z45" s="457" t="str">
        <f t="shared" si="16"/>
        <v/>
      </c>
      <c r="AA45" s="458" t="s">
        <v>275</v>
      </c>
      <c r="AB45" s="459" t="str">
        <f t="shared" si="23"/>
        <v/>
      </c>
      <c r="AC45" s="460" t="str">
        <f>IFERROR(ROUNDDOWN(ROUNDDOWN(ROUND(L45*VLOOKUP(K45,【参考】数式用!$A$4:$F$57,MATCH("処遇改善加算Ⅳ",【参考】数式用!$C$3:$F$3,0)+2,0),0)*M45,0)*Z45*0.5,0), "")</f>
        <v/>
      </c>
      <c r="AD45" s="156"/>
      <c r="AE45" s="157"/>
      <c r="AF45" s="157"/>
      <c r="AG45" s="158"/>
      <c r="AH45" s="159"/>
      <c r="AI45" s="161"/>
      <c r="AJ45" s="161"/>
      <c r="AK45" s="542" t="str">
        <f t="shared" si="1"/>
        <v/>
      </c>
      <c r="AL45" s="543" t="str">
        <f t="shared" si="2"/>
        <v/>
      </c>
      <c r="AM45" s="544"/>
      <c r="AN45" s="548" t="str">
        <f>IFERROR(VLOOKUP(K45,【参考】数式用!$A$2:$N$57,14,FALSE),"")</f>
        <v/>
      </c>
      <c r="AO45" s="548" t="str">
        <f t="shared" si="3"/>
        <v/>
      </c>
      <c r="AP45" s="547" t="str">
        <f t="shared" si="4"/>
        <v/>
      </c>
      <c r="AQ45" s="547" t="str">
        <f t="shared" si="5"/>
        <v>入力済</v>
      </c>
      <c r="AR45" s="548" t="str">
        <f t="shared" si="6"/>
        <v/>
      </c>
      <c r="AS45" s="547" t="str">
        <f t="shared" si="7"/>
        <v>入力済</v>
      </c>
      <c r="AT45" s="547" t="str">
        <f t="shared" si="8"/>
        <v/>
      </c>
      <c r="AU45" s="547" t="str">
        <f t="shared" si="24"/>
        <v/>
      </c>
      <c r="AV45" s="548" t="str">
        <f t="shared" si="10"/>
        <v/>
      </c>
      <c r="AW45" s="548" t="str">
        <f t="shared" si="11"/>
        <v>入力済</v>
      </c>
      <c r="AX45" s="547" t="str">
        <f>IFERROR(VLOOKUP(K45,【参考】数式用!$AR$3:$AS$49,2, FALSE), "")</f>
        <v/>
      </c>
      <c r="AY45" s="548" t="str">
        <f t="shared" si="12"/>
        <v/>
      </c>
      <c r="AZ45" s="548" t="str">
        <f t="shared" si="13"/>
        <v>入力済</v>
      </c>
      <c r="BA45" s="547" t="str">
        <f>IFERROR(VLOOKUP(K45,【参考】数式用!$AX$3:$AY$56, 2, FALSE), "")</f>
        <v/>
      </c>
      <c r="BB45" s="548" t="str">
        <f t="shared" si="25"/>
        <v/>
      </c>
      <c r="BC45" s="648" t="str">
        <f t="shared" si="15"/>
        <v>入力済</v>
      </c>
      <c r="BD45" s="548" t="str">
        <f t="shared" si="17"/>
        <v/>
      </c>
      <c r="BE45" s="548" t="str">
        <f t="shared" si="26"/>
        <v/>
      </c>
      <c r="BF45" s="515"/>
      <c r="BG45" s="515"/>
      <c r="BH45" s="634" t="e">
        <f>VLOOKUP(K45,【参考】数式用!$A$2:$O$57,15,FALSE)</f>
        <v>#N/A</v>
      </c>
      <c r="BI45" s="515"/>
      <c r="BJ45" s="515"/>
      <c r="BK45" s="515"/>
      <c r="BL45" s="515"/>
      <c r="BM45" s="515"/>
      <c r="BN45" s="515"/>
      <c r="BO45" s="516"/>
    </row>
    <row r="46" spans="1:67" s="517" customFormat="1" ht="109.9" customHeight="1" thickBot="1">
      <c r="A46" s="454">
        <v>35</v>
      </c>
      <c r="B46" s="933" t="str">
        <f>IF(基本情報入力シート!B74="","",基本情報入力シート!B74)</f>
        <v/>
      </c>
      <c r="C46" s="934"/>
      <c r="D46" s="934"/>
      <c r="E46" s="934"/>
      <c r="F46" s="935"/>
      <c r="G46" s="455" t="str">
        <f>IF(基本情報入力シート!L74="", "", 基本情報入力シート!L74)</f>
        <v/>
      </c>
      <c r="H46" s="455" t="str">
        <f>IF(基本情報入力シート!Q74="", "", 基本情報入力シート!Q74)</f>
        <v/>
      </c>
      <c r="I46" s="455" t="str">
        <f>IF(基本情報入力シート!V74="", "", 基本情報入力シート!V74)</f>
        <v/>
      </c>
      <c r="J46" s="455" t="str">
        <f>IF(基本情報入力シート!W74="", "", 基本情報入力シート!W74)</f>
        <v/>
      </c>
      <c r="K46" s="455" t="str">
        <f>IF(基本情報入力シート!Z74="", "", 基本情報入力シート!Z74)</f>
        <v/>
      </c>
      <c r="L46" s="101" t="str">
        <f>IF(基本情報入力シート!AF74=0, "",基本情報入力シート!AF74)</f>
        <v/>
      </c>
      <c r="M46" s="142" t="str">
        <f>IF(基本情報入力シート!AG74="","",基本情報入力シート!AG74)</f>
        <v/>
      </c>
      <c r="N46" s="136"/>
      <c r="O46" s="155" t="str">
        <f>IFERROR(VLOOKUP(K46,【参考】数式用!$A$2:$F$57,MATCH(N46,【参考】数式用!$C$3:$F$3,0)+2,0),"")</f>
        <v/>
      </c>
      <c r="P46" s="456" t="s">
        <v>180</v>
      </c>
      <c r="Q46" s="141"/>
      <c r="R46" s="457" t="s">
        <v>271</v>
      </c>
      <c r="S46" s="141"/>
      <c r="T46" s="457" t="s">
        <v>272</v>
      </c>
      <c r="U46" s="141"/>
      <c r="V46" s="457" t="s">
        <v>271</v>
      </c>
      <c r="W46" s="141"/>
      <c r="X46" s="457" t="s">
        <v>273</v>
      </c>
      <c r="Y46" s="457" t="s">
        <v>274</v>
      </c>
      <c r="Z46" s="457" t="str">
        <f t="shared" si="16"/>
        <v/>
      </c>
      <c r="AA46" s="458" t="s">
        <v>275</v>
      </c>
      <c r="AB46" s="459" t="str">
        <f t="shared" si="23"/>
        <v/>
      </c>
      <c r="AC46" s="460" t="str">
        <f>IFERROR(ROUNDDOWN(ROUNDDOWN(ROUND(L46*VLOOKUP(K46,【参考】数式用!$A$4:$F$57,MATCH("処遇改善加算Ⅳ",【参考】数式用!$C$3:$F$3,0)+2,0),0)*M46,0)*Z46*0.5,0), "")</f>
        <v/>
      </c>
      <c r="AD46" s="156"/>
      <c r="AE46" s="157"/>
      <c r="AF46" s="157"/>
      <c r="AG46" s="158"/>
      <c r="AH46" s="159"/>
      <c r="AI46" s="161"/>
      <c r="AJ46" s="161"/>
      <c r="AK46" s="542" t="str">
        <f t="shared" si="1"/>
        <v/>
      </c>
      <c r="AL46" s="543" t="str">
        <f t="shared" si="2"/>
        <v/>
      </c>
      <c r="AM46" s="544"/>
      <c r="AN46" s="548" t="str">
        <f>IFERROR(VLOOKUP(K46,【参考】数式用!$A$2:$N$57,14,FALSE),"")</f>
        <v/>
      </c>
      <c r="AO46" s="548" t="str">
        <f t="shared" si="3"/>
        <v/>
      </c>
      <c r="AP46" s="547" t="str">
        <f t="shared" si="4"/>
        <v/>
      </c>
      <c r="AQ46" s="547" t="str">
        <f t="shared" si="5"/>
        <v>入力済</v>
      </c>
      <c r="AR46" s="548" t="str">
        <f t="shared" si="6"/>
        <v/>
      </c>
      <c r="AS46" s="547" t="str">
        <f t="shared" si="7"/>
        <v>入力済</v>
      </c>
      <c r="AT46" s="547" t="str">
        <f t="shared" si="8"/>
        <v/>
      </c>
      <c r="AU46" s="547" t="str">
        <f t="shared" si="24"/>
        <v/>
      </c>
      <c r="AV46" s="548" t="str">
        <f t="shared" si="10"/>
        <v/>
      </c>
      <c r="AW46" s="548" t="str">
        <f t="shared" si="11"/>
        <v>入力済</v>
      </c>
      <c r="AX46" s="547" t="str">
        <f>IFERROR(VLOOKUP(K46,【参考】数式用!$AR$3:$AS$49,2, FALSE), "")</f>
        <v/>
      </c>
      <c r="AY46" s="548" t="str">
        <f t="shared" si="12"/>
        <v/>
      </c>
      <c r="AZ46" s="548" t="str">
        <f t="shared" si="13"/>
        <v>入力済</v>
      </c>
      <c r="BA46" s="547" t="str">
        <f>IFERROR(VLOOKUP(K46,【参考】数式用!$AX$3:$AY$56, 2, FALSE), "")</f>
        <v/>
      </c>
      <c r="BB46" s="548" t="str">
        <f t="shared" si="25"/>
        <v/>
      </c>
      <c r="BC46" s="648" t="str">
        <f t="shared" si="15"/>
        <v>入力済</v>
      </c>
      <c r="BD46" s="548" t="str">
        <f t="shared" si="17"/>
        <v/>
      </c>
      <c r="BE46" s="548" t="str">
        <f t="shared" si="26"/>
        <v/>
      </c>
      <c r="BF46" s="515"/>
      <c r="BG46" s="515"/>
      <c r="BH46" s="634" t="e">
        <f>VLOOKUP(K46,【参考】数式用!$A$2:$O$57,15,FALSE)</f>
        <v>#N/A</v>
      </c>
      <c r="BI46" s="515"/>
      <c r="BJ46" s="515"/>
      <c r="BK46" s="515"/>
      <c r="BL46" s="515"/>
      <c r="BM46" s="515"/>
      <c r="BN46" s="515"/>
      <c r="BO46" s="516"/>
    </row>
    <row r="47" spans="1:67" s="517" customFormat="1" ht="109.9" customHeight="1" thickBot="1">
      <c r="A47" s="454">
        <v>36</v>
      </c>
      <c r="B47" s="933" t="str">
        <f>IF(基本情報入力シート!B75="","",基本情報入力シート!B75)</f>
        <v/>
      </c>
      <c r="C47" s="934"/>
      <c r="D47" s="934"/>
      <c r="E47" s="934"/>
      <c r="F47" s="935"/>
      <c r="G47" s="455" t="str">
        <f>IF(基本情報入力シート!L75="", "", 基本情報入力シート!L75)</f>
        <v/>
      </c>
      <c r="H47" s="455" t="str">
        <f>IF(基本情報入力シート!Q75="", "", 基本情報入力シート!Q75)</f>
        <v/>
      </c>
      <c r="I47" s="455" t="str">
        <f>IF(基本情報入力シート!V75="", "", 基本情報入力シート!V75)</f>
        <v/>
      </c>
      <c r="J47" s="455" t="str">
        <f>IF(基本情報入力シート!W75="", "", 基本情報入力シート!W75)</f>
        <v/>
      </c>
      <c r="K47" s="455" t="str">
        <f>IF(基本情報入力シート!Z75="", "", 基本情報入力シート!Z75)</f>
        <v/>
      </c>
      <c r="L47" s="101" t="str">
        <f>IF(基本情報入力シート!AF75=0, "",基本情報入力シート!AF75)</f>
        <v/>
      </c>
      <c r="M47" s="142" t="str">
        <f>IF(基本情報入力シート!AG75="","",基本情報入力シート!AG75)</f>
        <v/>
      </c>
      <c r="N47" s="136"/>
      <c r="O47" s="155" t="str">
        <f>IFERROR(VLOOKUP(K47,【参考】数式用!$A$2:$F$57,MATCH(N47,【参考】数式用!$C$3:$F$3,0)+2,0),"")</f>
        <v/>
      </c>
      <c r="P47" s="456" t="s">
        <v>180</v>
      </c>
      <c r="Q47" s="141"/>
      <c r="R47" s="457" t="s">
        <v>271</v>
      </c>
      <c r="S47" s="141"/>
      <c r="T47" s="457" t="s">
        <v>272</v>
      </c>
      <c r="U47" s="141"/>
      <c r="V47" s="457" t="s">
        <v>271</v>
      </c>
      <c r="W47" s="141"/>
      <c r="X47" s="457" t="s">
        <v>273</v>
      </c>
      <c r="Y47" s="457" t="s">
        <v>274</v>
      </c>
      <c r="Z47" s="457" t="str">
        <f t="shared" si="16"/>
        <v/>
      </c>
      <c r="AA47" s="458" t="s">
        <v>275</v>
      </c>
      <c r="AB47" s="459" t="str">
        <f t="shared" si="23"/>
        <v/>
      </c>
      <c r="AC47" s="460" t="str">
        <f>IFERROR(ROUNDDOWN(ROUNDDOWN(ROUND(L47*VLOOKUP(K47,【参考】数式用!$A$4:$F$57,MATCH("処遇改善加算Ⅳ",【参考】数式用!$C$3:$F$3,0)+2,0),0)*M47,0)*Z47*0.5,0), "")</f>
        <v/>
      </c>
      <c r="AD47" s="156"/>
      <c r="AE47" s="157"/>
      <c r="AF47" s="157"/>
      <c r="AG47" s="158"/>
      <c r="AH47" s="159"/>
      <c r="AI47" s="161"/>
      <c r="AJ47" s="161"/>
      <c r="AK47" s="542" t="str">
        <f t="shared" si="1"/>
        <v/>
      </c>
      <c r="AL47" s="543" t="str">
        <f t="shared" si="2"/>
        <v/>
      </c>
      <c r="AM47" s="544"/>
      <c r="AN47" s="548" t="str">
        <f>IFERROR(VLOOKUP(K47,【参考】数式用!$A$2:$N$57,14,FALSE),"")</f>
        <v/>
      </c>
      <c r="AO47" s="548" t="str">
        <f t="shared" si="3"/>
        <v/>
      </c>
      <c r="AP47" s="547" t="str">
        <f t="shared" si="4"/>
        <v/>
      </c>
      <c r="AQ47" s="547" t="str">
        <f t="shared" si="5"/>
        <v>入力済</v>
      </c>
      <c r="AR47" s="548" t="str">
        <f t="shared" si="6"/>
        <v/>
      </c>
      <c r="AS47" s="547" t="str">
        <f t="shared" si="7"/>
        <v>入力済</v>
      </c>
      <c r="AT47" s="547" t="str">
        <f t="shared" si="8"/>
        <v/>
      </c>
      <c r="AU47" s="547" t="str">
        <f t="shared" si="24"/>
        <v/>
      </c>
      <c r="AV47" s="548" t="str">
        <f t="shared" si="10"/>
        <v/>
      </c>
      <c r="AW47" s="548" t="str">
        <f t="shared" si="11"/>
        <v>入力済</v>
      </c>
      <c r="AX47" s="547" t="str">
        <f>IFERROR(VLOOKUP(K47,【参考】数式用!$AR$3:$AS$49,2, FALSE), "")</f>
        <v/>
      </c>
      <c r="AY47" s="548" t="str">
        <f t="shared" si="12"/>
        <v/>
      </c>
      <c r="AZ47" s="548" t="str">
        <f t="shared" si="13"/>
        <v>入力済</v>
      </c>
      <c r="BA47" s="547" t="str">
        <f>IFERROR(VLOOKUP(K47,【参考】数式用!$AX$3:$AY$56, 2, FALSE), "")</f>
        <v/>
      </c>
      <c r="BB47" s="548" t="str">
        <f t="shared" si="25"/>
        <v/>
      </c>
      <c r="BC47" s="648" t="str">
        <f t="shared" si="15"/>
        <v>入力済</v>
      </c>
      <c r="BD47" s="548" t="str">
        <f t="shared" si="17"/>
        <v/>
      </c>
      <c r="BE47" s="548" t="str">
        <f t="shared" si="26"/>
        <v/>
      </c>
      <c r="BF47" s="515"/>
      <c r="BG47" s="515"/>
      <c r="BH47" s="634" t="e">
        <f>VLOOKUP(K47,【参考】数式用!$A$2:$O$57,15,FALSE)</f>
        <v>#N/A</v>
      </c>
      <c r="BI47" s="515"/>
      <c r="BJ47" s="515"/>
      <c r="BK47" s="515"/>
      <c r="BL47" s="515"/>
      <c r="BM47" s="515"/>
      <c r="BN47" s="515"/>
      <c r="BO47" s="516"/>
    </row>
    <row r="48" spans="1:67" s="517" customFormat="1" ht="109.9" customHeight="1" thickBot="1">
      <c r="A48" s="454">
        <v>37</v>
      </c>
      <c r="B48" s="933" t="str">
        <f>IF(基本情報入力シート!B76="","",基本情報入力シート!B76)</f>
        <v/>
      </c>
      <c r="C48" s="934"/>
      <c r="D48" s="934"/>
      <c r="E48" s="934"/>
      <c r="F48" s="935"/>
      <c r="G48" s="455" t="str">
        <f>IF(基本情報入力シート!L76="", "", 基本情報入力シート!L76)</f>
        <v/>
      </c>
      <c r="H48" s="455" t="str">
        <f>IF(基本情報入力シート!Q76="", "", 基本情報入力シート!Q76)</f>
        <v/>
      </c>
      <c r="I48" s="455" t="str">
        <f>IF(基本情報入力シート!V76="", "", 基本情報入力シート!V76)</f>
        <v/>
      </c>
      <c r="J48" s="455" t="str">
        <f>IF(基本情報入力シート!W76="", "", 基本情報入力シート!W76)</f>
        <v/>
      </c>
      <c r="K48" s="455" t="str">
        <f>IF(基本情報入力シート!Z76="", "", 基本情報入力シート!Z76)</f>
        <v/>
      </c>
      <c r="L48" s="101" t="str">
        <f>IF(基本情報入力シート!AF76=0, "",基本情報入力シート!AF76)</f>
        <v/>
      </c>
      <c r="M48" s="142" t="str">
        <f>IF(基本情報入力シート!AG76="","",基本情報入力シート!AG76)</f>
        <v/>
      </c>
      <c r="N48" s="136"/>
      <c r="O48" s="155" t="str">
        <f>IFERROR(VLOOKUP(K48,【参考】数式用!$A$2:$F$57,MATCH(N48,【参考】数式用!$C$3:$F$3,0)+2,0),"")</f>
        <v/>
      </c>
      <c r="P48" s="456" t="s">
        <v>180</v>
      </c>
      <c r="Q48" s="141"/>
      <c r="R48" s="457" t="s">
        <v>271</v>
      </c>
      <c r="S48" s="141"/>
      <c r="T48" s="457" t="s">
        <v>272</v>
      </c>
      <c r="U48" s="141"/>
      <c r="V48" s="457" t="s">
        <v>271</v>
      </c>
      <c r="W48" s="141"/>
      <c r="X48" s="457" t="s">
        <v>182</v>
      </c>
      <c r="Y48" s="457" t="s">
        <v>274</v>
      </c>
      <c r="Z48" s="457" t="str">
        <f t="shared" si="16"/>
        <v/>
      </c>
      <c r="AA48" s="458" t="s">
        <v>275</v>
      </c>
      <c r="AB48" s="459" t="str">
        <f t="shared" si="23"/>
        <v/>
      </c>
      <c r="AC48" s="460" t="str">
        <f>IFERROR(ROUNDDOWN(ROUNDDOWN(ROUND(L48*VLOOKUP(K48,【参考】数式用!$A$4:$F$57,MATCH("処遇改善加算Ⅳ",【参考】数式用!$C$3:$F$3,0)+2,0),0)*M48,0)*Z48*0.5,0), "")</f>
        <v/>
      </c>
      <c r="AD48" s="156"/>
      <c r="AE48" s="157"/>
      <c r="AF48" s="157"/>
      <c r="AG48" s="158"/>
      <c r="AH48" s="159"/>
      <c r="AI48" s="161"/>
      <c r="AJ48" s="161"/>
      <c r="AK48" s="542" t="str">
        <f t="shared" si="1"/>
        <v/>
      </c>
      <c r="AL48" s="543" t="str">
        <f t="shared" si="2"/>
        <v/>
      </c>
      <c r="AM48" s="544"/>
      <c r="AN48" s="548" t="str">
        <f>IFERROR(VLOOKUP(K48,【参考】数式用!$A$2:$N$57,14,FALSE),"")</f>
        <v/>
      </c>
      <c r="AO48" s="548" t="str">
        <f t="shared" si="3"/>
        <v/>
      </c>
      <c r="AP48" s="547" t="str">
        <f t="shared" si="4"/>
        <v/>
      </c>
      <c r="AQ48" s="547" t="str">
        <f t="shared" si="5"/>
        <v>入力済</v>
      </c>
      <c r="AR48" s="548" t="str">
        <f t="shared" si="6"/>
        <v/>
      </c>
      <c r="AS48" s="547" t="str">
        <f t="shared" si="7"/>
        <v>入力済</v>
      </c>
      <c r="AT48" s="547" t="str">
        <f t="shared" si="8"/>
        <v/>
      </c>
      <c r="AU48" s="547" t="str">
        <f t="shared" si="24"/>
        <v/>
      </c>
      <c r="AV48" s="548" t="str">
        <f t="shared" si="10"/>
        <v/>
      </c>
      <c r="AW48" s="548" t="str">
        <f t="shared" si="11"/>
        <v>入力済</v>
      </c>
      <c r="AX48" s="547" t="str">
        <f>IFERROR(VLOOKUP(K48,【参考】数式用!$AR$3:$AS$49,2, FALSE), "")</f>
        <v/>
      </c>
      <c r="AY48" s="548" t="str">
        <f t="shared" si="12"/>
        <v/>
      </c>
      <c r="AZ48" s="548" t="str">
        <f t="shared" si="13"/>
        <v>入力済</v>
      </c>
      <c r="BA48" s="547" t="str">
        <f>IFERROR(VLOOKUP(K48,【参考】数式用!$AX$3:$AY$56, 2, FALSE), "")</f>
        <v/>
      </c>
      <c r="BB48" s="548" t="str">
        <f t="shared" si="25"/>
        <v/>
      </c>
      <c r="BC48" s="648" t="str">
        <f t="shared" si="15"/>
        <v>入力済</v>
      </c>
      <c r="BD48" s="548" t="str">
        <f t="shared" si="17"/>
        <v/>
      </c>
      <c r="BE48" s="548" t="str">
        <f t="shared" si="26"/>
        <v/>
      </c>
      <c r="BF48" s="515"/>
      <c r="BG48" s="515"/>
      <c r="BH48" s="634" t="e">
        <f>VLOOKUP(K48,【参考】数式用!$A$2:$O$57,15,FALSE)</f>
        <v>#N/A</v>
      </c>
      <c r="BI48" s="515"/>
      <c r="BJ48" s="515"/>
      <c r="BK48" s="515"/>
      <c r="BL48" s="515"/>
      <c r="BM48" s="515"/>
      <c r="BN48" s="515"/>
      <c r="BO48" s="516"/>
    </row>
    <row r="49" spans="1:67" s="517" customFormat="1" ht="109.9" customHeight="1" thickBot="1">
      <c r="A49" s="454">
        <v>38</v>
      </c>
      <c r="B49" s="933" t="str">
        <f>IF(基本情報入力シート!B77="","",基本情報入力シート!B77)</f>
        <v/>
      </c>
      <c r="C49" s="934"/>
      <c r="D49" s="934"/>
      <c r="E49" s="934"/>
      <c r="F49" s="935"/>
      <c r="G49" s="455" t="str">
        <f>IF(基本情報入力シート!L77="", "", 基本情報入力シート!L77)</f>
        <v/>
      </c>
      <c r="H49" s="455" t="str">
        <f>IF(基本情報入力シート!Q77="", "", 基本情報入力シート!Q77)</f>
        <v/>
      </c>
      <c r="I49" s="455" t="str">
        <f>IF(基本情報入力シート!V77="", "", 基本情報入力シート!V77)</f>
        <v/>
      </c>
      <c r="J49" s="455" t="str">
        <f>IF(基本情報入力シート!W77="", "", 基本情報入力シート!W77)</f>
        <v/>
      </c>
      <c r="K49" s="455" t="str">
        <f>IF(基本情報入力シート!Z77="", "", 基本情報入力シート!Z77)</f>
        <v/>
      </c>
      <c r="L49" s="101" t="str">
        <f>IF(基本情報入力シート!AF77=0, "",基本情報入力シート!AF77)</f>
        <v/>
      </c>
      <c r="M49" s="142" t="str">
        <f>IF(基本情報入力シート!AG77="","",基本情報入力シート!AG77)</f>
        <v/>
      </c>
      <c r="N49" s="136"/>
      <c r="O49" s="155" t="str">
        <f>IFERROR(VLOOKUP(K49,【参考】数式用!$A$2:$F$57,MATCH(N49,【参考】数式用!$C$3:$F$3,0)+2,0),"")</f>
        <v/>
      </c>
      <c r="P49" s="456" t="s">
        <v>180</v>
      </c>
      <c r="Q49" s="141"/>
      <c r="R49" s="457" t="s">
        <v>271</v>
      </c>
      <c r="S49" s="141"/>
      <c r="T49" s="457" t="s">
        <v>272</v>
      </c>
      <c r="U49" s="141"/>
      <c r="V49" s="457" t="s">
        <v>271</v>
      </c>
      <c r="W49" s="141"/>
      <c r="X49" s="457" t="s">
        <v>273</v>
      </c>
      <c r="Y49" s="457" t="s">
        <v>274</v>
      </c>
      <c r="Z49" s="457" t="str">
        <f t="shared" si="16"/>
        <v/>
      </c>
      <c r="AA49" s="458" t="s">
        <v>275</v>
      </c>
      <c r="AB49" s="459" t="str">
        <f t="shared" si="23"/>
        <v/>
      </c>
      <c r="AC49" s="460" t="str">
        <f>IFERROR(ROUNDDOWN(ROUNDDOWN(ROUND(L49*VLOOKUP(K49,【参考】数式用!$A$4:$F$57,MATCH("処遇改善加算Ⅳ",【参考】数式用!$C$3:$F$3,0)+2,0),0)*M49,0)*Z49*0.5,0), "")</f>
        <v/>
      </c>
      <c r="AD49" s="156"/>
      <c r="AE49" s="157"/>
      <c r="AF49" s="157"/>
      <c r="AG49" s="158"/>
      <c r="AH49" s="159"/>
      <c r="AI49" s="161"/>
      <c r="AJ49" s="161"/>
      <c r="AK49" s="542" t="str">
        <f t="shared" si="1"/>
        <v/>
      </c>
      <c r="AL49" s="543" t="str">
        <f t="shared" si="2"/>
        <v/>
      </c>
      <c r="AM49" s="544"/>
      <c r="AN49" s="548" t="str">
        <f>IFERROR(VLOOKUP(K49,【参考】数式用!$A$2:$N$57,14,FALSE),"")</f>
        <v/>
      </c>
      <c r="AO49" s="548" t="str">
        <f t="shared" si="3"/>
        <v/>
      </c>
      <c r="AP49" s="547" t="str">
        <f t="shared" si="4"/>
        <v/>
      </c>
      <c r="AQ49" s="547" t="str">
        <f t="shared" si="5"/>
        <v>入力済</v>
      </c>
      <c r="AR49" s="548" t="str">
        <f t="shared" si="6"/>
        <v/>
      </c>
      <c r="AS49" s="547" t="str">
        <f t="shared" si="7"/>
        <v>入力済</v>
      </c>
      <c r="AT49" s="547" t="str">
        <f t="shared" si="8"/>
        <v/>
      </c>
      <c r="AU49" s="547" t="str">
        <f t="shared" si="24"/>
        <v/>
      </c>
      <c r="AV49" s="548" t="str">
        <f t="shared" si="10"/>
        <v/>
      </c>
      <c r="AW49" s="548" t="str">
        <f t="shared" si="11"/>
        <v>入力済</v>
      </c>
      <c r="AX49" s="547" t="str">
        <f>IFERROR(VLOOKUP(K49,【参考】数式用!$AR$3:$AS$49,2, FALSE), "")</f>
        <v/>
      </c>
      <c r="AY49" s="548" t="str">
        <f t="shared" si="12"/>
        <v/>
      </c>
      <c r="AZ49" s="548" t="str">
        <f>IF(AND(N49="処遇改善加算Ⅰ", AI49=""), "未入力","入力済")</f>
        <v>入力済</v>
      </c>
      <c r="BA49" s="547" t="str">
        <f>IFERROR(VLOOKUP(K49,【参考】数式用!$AX$3:$AY$56, 2, FALSE), "")</f>
        <v/>
      </c>
      <c r="BB49" s="548" t="str">
        <f t="shared" si="25"/>
        <v/>
      </c>
      <c r="BC49" s="648" t="str">
        <f t="shared" si="15"/>
        <v>入力済</v>
      </c>
      <c r="BD49" s="548" t="str">
        <f t="shared" si="17"/>
        <v/>
      </c>
      <c r="BE49" s="548" t="str">
        <f t="shared" si="26"/>
        <v/>
      </c>
      <c r="BF49" s="515"/>
      <c r="BG49" s="515"/>
      <c r="BH49" s="634" t="e">
        <f>VLOOKUP(K49,【参考】数式用!$A$2:$O$57,15,FALSE)</f>
        <v>#N/A</v>
      </c>
      <c r="BI49" s="515"/>
      <c r="BJ49" s="515"/>
      <c r="BK49" s="515"/>
      <c r="BL49" s="515"/>
      <c r="BM49" s="515"/>
      <c r="BN49" s="515"/>
      <c r="BO49" s="516"/>
    </row>
    <row r="50" spans="1:67" s="517" customFormat="1" ht="109.9" customHeight="1" thickBot="1">
      <c r="A50" s="454">
        <v>39</v>
      </c>
      <c r="B50" s="933" t="str">
        <f>IF(基本情報入力シート!B78="","",基本情報入力シート!B78)</f>
        <v/>
      </c>
      <c r="C50" s="934"/>
      <c r="D50" s="934"/>
      <c r="E50" s="934"/>
      <c r="F50" s="935"/>
      <c r="G50" s="455" t="str">
        <f>IF(基本情報入力シート!L78="", "", 基本情報入力シート!L78)</f>
        <v/>
      </c>
      <c r="H50" s="455" t="str">
        <f>IF(基本情報入力シート!Q78="", "", 基本情報入力シート!Q78)</f>
        <v/>
      </c>
      <c r="I50" s="455" t="str">
        <f>IF(基本情報入力シート!V78="", "", 基本情報入力シート!V78)</f>
        <v/>
      </c>
      <c r="J50" s="455" t="str">
        <f>IF(基本情報入力シート!W78="", "", 基本情報入力シート!W78)</f>
        <v/>
      </c>
      <c r="K50" s="455" t="str">
        <f>IF(基本情報入力シート!Z78="", "", 基本情報入力シート!Z78)</f>
        <v/>
      </c>
      <c r="L50" s="101" t="str">
        <f>IF(基本情報入力シート!AF78=0, "",基本情報入力シート!AF78)</f>
        <v/>
      </c>
      <c r="M50" s="142" t="str">
        <f>IF(基本情報入力シート!AG78="","",基本情報入力シート!AG78)</f>
        <v/>
      </c>
      <c r="N50" s="136"/>
      <c r="O50" s="155" t="str">
        <f>IFERROR(VLOOKUP(K50,【参考】数式用!$A$2:$F$57,MATCH(N50,【参考】数式用!$C$3:$F$3,0)+2,0),"")</f>
        <v/>
      </c>
      <c r="P50" s="456" t="s">
        <v>180</v>
      </c>
      <c r="Q50" s="141"/>
      <c r="R50" s="457" t="s">
        <v>271</v>
      </c>
      <c r="S50" s="141"/>
      <c r="T50" s="457" t="s">
        <v>272</v>
      </c>
      <c r="U50" s="141"/>
      <c r="V50" s="457" t="s">
        <v>271</v>
      </c>
      <c r="W50" s="141"/>
      <c r="X50" s="457" t="s">
        <v>273</v>
      </c>
      <c r="Y50" s="457" t="s">
        <v>274</v>
      </c>
      <c r="Z50" s="457" t="str">
        <f t="shared" si="16"/>
        <v/>
      </c>
      <c r="AA50" s="458" t="s">
        <v>275</v>
      </c>
      <c r="AB50" s="459" t="str">
        <f t="shared" si="23"/>
        <v/>
      </c>
      <c r="AC50" s="460" t="str">
        <f>IFERROR(ROUNDDOWN(ROUNDDOWN(ROUND(L50*VLOOKUP(K50,【参考】数式用!$A$4:$F$57,MATCH("処遇改善加算Ⅳ",【参考】数式用!$C$3:$F$3,0)+2,0),0)*M50,0)*Z50*0.5,0), "")</f>
        <v/>
      </c>
      <c r="AD50" s="156"/>
      <c r="AE50" s="157"/>
      <c r="AF50" s="157"/>
      <c r="AG50" s="158"/>
      <c r="AH50" s="159"/>
      <c r="AI50" s="161"/>
      <c r="AJ50" s="161"/>
      <c r="AK50" s="542" t="str">
        <f t="shared" si="1"/>
        <v/>
      </c>
      <c r="AL50" s="543" t="str">
        <f t="shared" si="2"/>
        <v/>
      </c>
      <c r="AM50" s="544"/>
      <c r="AN50" s="548" t="str">
        <f>IFERROR(VLOOKUP(K50,【参考】数式用!$A$2:$N$57,14,FALSE),"")</f>
        <v/>
      </c>
      <c r="AO50" s="548" t="str">
        <f t="shared" si="3"/>
        <v/>
      </c>
      <c r="AP50" s="547" t="str">
        <f t="shared" si="4"/>
        <v/>
      </c>
      <c r="AQ50" s="547" t="str">
        <f t="shared" si="5"/>
        <v>入力済</v>
      </c>
      <c r="AR50" s="548" t="str">
        <f t="shared" si="6"/>
        <v/>
      </c>
      <c r="AS50" s="547" t="str">
        <f t="shared" si="7"/>
        <v>入力済</v>
      </c>
      <c r="AT50" s="547" t="str">
        <f t="shared" si="8"/>
        <v/>
      </c>
      <c r="AU50" s="547" t="str">
        <f t="shared" si="24"/>
        <v/>
      </c>
      <c r="AV50" s="548" t="str">
        <f t="shared" si="10"/>
        <v/>
      </c>
      <c r="AW50" s="548" t="str">
        <f t="shared" si="11"/>
        <v>入力済</v>
      </c>
      <c r="AX50" s="547" t="str">
        <f>IFERROR(VLOOKUP(K50,【参考】数式用!$AR$3:$AS$49,2, FALSE), "")</f>
        <v/>
      </c>
      <c r="AY50" s="548" t="str">
        <f t="shared" si="12"/>
        <v/>
      </c>
      <c r="AZ50" s="548" t="str">
        <f t="shared" si="13"/>
        <v>入力済</v>
      </c>
      <c r="BA50" s="547" t="str">
        <f>IFERROR(VLOOKUP(K50,【参考】数式用!$AX$3:$AY$56, 2, FALSE), "")</f>
        <v/>
      </c>
      <c r="BB50" s="548" t="str">
        <f t="shared" si="25"/>
        <v/>
      </c>
      <c r="BC50" s="648" t="str">
        <f t="shared" si="15"/>
        <v>入力済</v>
      </c>
      <c r="BD50" s="548" t="str">
        <f t="shared" si="17"/>
        <v/>
      </c>
      <c r="BE50" s="548" t="str">
        <f t="shared" si="26"/>
        <v/>
      </c>
      <c r="BF50" s="515"/>
      <c r="BG50" s="515"/>
      <c r="BH50" s="634" t="e">
        <f>VLOOKUP(K50,【参考】数式用!$A$2:$O$57,15,FALSE)</f>
        <v>#N/A</v>
      </c>
      <c r="BI50" s="515"/>
      <c r="BJ50" s="515"/>
      <c r="BK50" s="515"/>
      <c r="BL50" s="515"/>
      <c r="BM50" s="515"/>
      <c r="BN50" s="515"/>
      <c r="BO50" s="516"/>
    </row>
    <row r="51" spans="1:67" s="517" customFormat="1" ht="109.9" customHeight="1" thickBot="1">
      <c r="A51" s="454">
        <v>40</v>
      </c>
      <c r="B51" s="933" t="str">
        <f>IF(基本情報入力シート!B79="","",基本情報入力シート!B79)</f>
        <v/>
      </c>
      <c r="C51" s="934"/>
      <c r="D51" s="934"/>
      <c r="E51" s="934"/>
      <c r="F51" s="935"/>
      <c r="G51" s="455" t="str">
        <f>IF(基本情報入力シート!L79="", "", 基本情報入力シート!L79)</f>
        <v/>
      </c>
      <c r="H51" s="455" t="str">
        <f>IF(基本情報入力シート!Q79="", "", 基本情報入力シート!Q79)</f>
        <v/>
      </c>
      <c r="I51" s="455" t="str">
        <f>IF(基本情報入力シート!V79="", "", 基本情報入力シート!V79)</f>
        <v/>
      </c>
      <c r="J51" s="455" t="str">
        <f>IF(基本情報入力シート!W79="", "", 基本情報入力シート!W79)</f>
        <v/>
      </c>
      <c r="K51" s="455" t="str">
        <f>IF(基本情報入力シート!Z79="", "", 基本情報入力シート!Z79)</f>
        <v/>
      </c>
      <c r="L51" s="101" t="str">
        <f>IF(基本情報入力シート!AF79=0, "",基本情報入力シート!AF79)</f>
        <v/>
      </c>
      <c r="M51" s="142" t="str">
        <f>IF(基本情報入力シート!AG79="","",基本情報入力シート!AG79)</f>
        <v/>
      </c>
      <c r="N51" s="136"/>
      <c r="O51" s="155" t="str">
        <f>IFERROR(VLOOKUP(K51,【参考】数式用!$A$2:$F$57,MATCH(N51,【参考】数式用!$C$3:$F$3,0)+2,0),"")</f>
        <v/>
      </c>
      <c r="P51" s="456" t="s">
        <v>180</v>
      </c>
      <c r="Q51" s="141"/>
      <c r="R51" s="457" t="s">
        <v>271</v>
      </c>
      <c r="S51" s="141"/>
      <c r="T51" s="457" t="s">
        <v>272</v>
      </c>
      <c r="U51" s="141"/>
      <c r="V51" s="457" t="s">
        <v>271</v>
      </c>
      <c r="W51" s="141"/>
      <c r="X51" s="457" t="s">
        <v>273</v>
      </c>
      <c r="Y51" s="457" t="s">
        <v>274</v>
      </c>
      <c r="Z51" s="457" t="str">
        <f t="shared" si="16"/>
        <v/>
      </c>
      <c r="AA51" s="458" t="s">
        <v>275</v>
      </c>
      <c r="AB51" s="459" t="str">
        <f t="shared" si="23"/>
        <v/>
      </c>
      <c r="AC51" s="460" t="str">
        <f>IFERROR(ROUNDDOWN(ROUNDDOWN(ROUND(L51*VLOOKUP(K51,【参考】数式用!$A$4:$F$57,MATCH("処遇改善加算Ⅳ",【参考】数式用!$C$3:$F$3,0)+2,0),0)*M51,0)*Z51*0.5,0), "")</f>
        <v/>
      </c>
      <c r="AD51" s="156"/>
      <c r="AE51" s="157"/>
      <c r="AF51" s="157"/>
      <c r="AG51" s="158"/>
      <c r="AH51" s="159"/>
      <c r="AI51" s="161"/>
      <c r="AJ51" s="161"/>
      <c r="AK51" s="542" t="str">
        <f t="shared" si="1"/>
        <v/>
      </c>
      <c r="AL51" s="543" t="str">
        <f t="shared" si="2"/>
        <v/>
      </c>
      <c r="AM51" s="544"/>
      <c r="AN51" s="548" t="str">
        <f>IFERROR(VLOOKUP(K51,【参考】数式用!$A$2:$N$57,14,FALSE),"")</f>
        <v/>
      </c>
      <c r="AO51" s="548" t="str">
        <f t="shared" si="3"/>
        <v/>
      </c>
      <c r="AP51" s="547" t="str">
        <f t="shared" si="4"/>
        <v/>
      </c>
      <c r="AQ51" s="547" t="str">
        <f t="shared" si="5"/>
        <v>入力済</v>
      </c>
      <c r="AR51" s="548" t="str">
        <f t="shared" si="6"/>
        <v/>
      </c>
      <c r="AS51" s="547" t="str">
        <f t="shared" si="7"/>
        <v>入力済</v>
      </c>
      <c r="AT51" s="547" t="str">
        <f t="shared" si="8"/>
        <v/>
      </c>
      <c r="AU51" s="547" t="str">
        <f t="shared" si="24"/>
        <v/>
      </c>
      <c r="AV51" s="548" t="str">
        <f t="shared" si="10"/>
        <v/>
      </c>
      <c r="AW51" s="548" t="str">
        <f t="shared" si="11"/>
        <v>入力済</v>
      </c>
      <c r="AX51" s="547" t="str">
        <f>IFERROR(VLOOKUP(K51,【参考】数式用!$AR$3:$AS$49,2, FALSE), "")</f>
        <v/>
      </c>
      <c r="AY51" s="548" t="str">
        <f t="shared" si="12"/>
        <v/>
      </c>
      <c r="AZ51" s="548" t="str">
        <f t="shared" si="13"/>
        <v>入力済</v>
      </c>
      <c r="BA51" s="547" t="str">
        <f>IFERROR(VLOOKUP(K51,【参考】数式用!$AX$3:$AY$56, 2, FALSE), "")</f>
        <v/>
      </c>
      <c r="BB51" s="548" t="str">
        <f t="shared" si="25"/>
        <v/>
      </c>
      <c r="BC51" s="648" t="str">
        <f t="shared" si="15"/>
        <v>入力済</v>
      </c>
      <c r="BD51" s="548" t="str">
        <f t="shared" si="17"/>
        <v/>
      </c>
      <c r="BE51" s="548" t="str">
        <f t="shared" si="26"/>
        <v/>
      </c>
      <c r="BF51" s="515"/>
      <c r="BG51" s="515"/>
      <c r="BH51" s="634" t="e">
        <f>VLOOKUP(K51,【参考】数式用!$A$2:$O$57,15,FALSE)</f>
        <v>#N/A</v>
      </c>
      <c r="BI51" s="515"/>
      <c r="BJ51" s="515"/>
      <c r="BK51" s="515"/>
      <c r="BL51" s="515"/>
      <c r="BM51" s="515"/>
      <c r="BN51" s="515"/>
      <c r="BO51" s="516"/>
    </row>
    <row r="52" spans="1:67" s="517" customFormat="1" ht="109.9" customHeight="1" thickBot="1">
      <c r="A52" s="454">
        <v>41</v>
      </c>
      <c r="B52" s="933" t="str">
        <f>IF(基本情報入力シート!B80="","",基本情報入力シート!B80)</f>
        <v/>
      </c>
      <c r="C52" s="934"/>
      <c r="D52" s="934"/>
      <c r="E52" s="934"/>
      <c r="F52" s="935"/>
      <c r="G52" s="455" t="str">
        <f>IF(基本情報入力シート!L80="", "", 基本情報入力シート!L80)</f>
        <v/>
      </c>
      <c r="H52" s="455" t="str">
        <f>IF(基本情報入力シート!Q80="", "", 基本情報入力シート!Q80)</f>
        <v/>
      </c>
      <c r="I52" s="455" t="str">
        <f>IF(基本情報入力シート!V80="", "", 基本情報入力シート!V80)</f>
        <v/>
      </c>
      <c r="J52" s="455" t="str">
        <f>IF(基本情報入力シート!W80="", "", 基本情報入力シート!W80)</f>
        <v/>
      </c>
      <c r="K52" s="455" t="str">
        <f>IF(基本情報入力シート!Z80="", "", 基本情報入力シート!Z80)</f>
        <v/>
      </c>
      <c r="L52" s="101" t="str">
        <f>IF(基本情報入力シート!AF80=0, "",基本情報入力シート!AF80)</f>
        <v/>
      </c>
      <c r="M52" s="142" t="str">
        <f>IF(基本情報入力シート!AG80="","",基本情報入力シート!AG80)</f>
        <v/>
      </c>
      <c r="N52" s="136"/>
      <c r="O52" s="155" t="str">
        <f>IFERROR(VLOOKUP(K52,【参考】数式用!$A$2:$F$57,MATCH(N52,【参考】数式用!$C$3:$F$3,0)+2,0),"")</f>
        <v/>
      </c>
      <c r="P52" s="456" t="s">
        <v>180</v>
      </c>
      <c r="Q52" s="141"/>
      <c r="R52" s="457" t="s">
        <v>271</v>
      </c>
      <c r="S52" s="141"/>
      <c r="T52" s="457" t="s">
        <v>272</v>
      </c>
      <c r="U52" s="141"/>
      <c r="V52" s="457" t="s">
        <v>271</v>
      </c>
      <c r="W52" s="141"/>
      <c r="X52" s="457" t="s">
        <v>182</v>
      </c>
      <c r="Y52" s="457" t="s">
        <v>274</v>
      </c>
      <c r="Z52" s="457" t="str">
        <f t="shared" si="16"/>
        <v/>
      </c>
      <c r="AA52" s="458" t="s">
        <v>275</v>
      </c>
      <c r="AB52" s="459" t="str">
        <f t="shared" si="23"/>
        <v/>
      </c>
      <c r="AC52" s="460" t="str">
        <f>IFERROR(ROUNDDOWN(ROUNDDOWN(ROUND(L52*VLOOKUP(K52,【参考】数式用!$A$4:$F$57,MATCH("処遇改善加算Ⅳ",【参考】数式用!$C$3:$F$3,0)+2,0),0)*M52,0)*Z52*0.5,0), "")</f>
        <v/>
      </c>
      <c r="AD52" s="156"/>
      <c r="AE52" s="157"/>
      <c r="AF52" s="157"/>
      <c r="AG52" s="158"/>
      <c r="AH52" s="159"/>
      <c r="AI52" s="161"/>
      <c r="AJ52" s="161"/>
      <c r="AK52" s="542" t="str">
        <f t="shared" si="1"/>
        <v/>
      </c>
      <c r="AL52" s="543" t="str">
        <f t="shared" si="2"/>
        <v/>
      </c>
      <c r="AM52" s="544"/>
      <c r="AN52" s="548" t="str">
        <f>IFERROR(VLOOKUP(K52,【参考】数式用!$A$2:$N$57,14,FALSE),"")</f>
        <v/>
      </c>
      <c r="AO52" s="548" t="str">
        <f t="shared" si="3"/>
        <v/>
      </c>
      <c r="AP52" s="547" t="str">
        <f t="shared" si="4"/>
        <v/>
      </c>
      <c r="AQ52" s="547" t="str">
        <f t="shared" si="5"/>
        <v>入力済</v>
      </c>
      <c r="AR52" s="548" t="str">
        <f t="shared" si="6"/>
        <v/>
      </c>
      <c r="AS52" s="547" t="str">
        <f t="shared" si="7"/>
        <v>入力済</v>
      </c>
      <c r="AT52" s="547" t="str">
        <f t="shared" si="8"/>
        <v/>
      </c>
      <c r="AU52" s="547" t="str">
        <f t="shared" si="24"/>
        <v/>
      </c>
      <c r="AV52" s="548" t="str">
        <f t="shared" si="10"/>
        <v/>
      </c>
      <c r="AW52" s="548" t="str">
        <f t="shared" si="11"/>
        <v>入力済</v>
      </c>
      <c r="AX52" s="547" t="str">
        <f>IFERROR(VLOOKUP(K52,【参考】数式用!$AR$3:$AS$49,2, FALSE), "")</f>
        <v/>
      </c>
      <c r="AY52" s="548" t="str">
        <f t="shared" si="12"/>
        <v/>
      </c>
      <c r="AZ52" s="548" t="str">
        <f t="shared" si="13"/>
        <v>入力済</v>
      </c>
      <c r="BA52" s="547" t="str">
        <f>IFERROR(VLOOKUP(K52,【参考】数式用!$AX$3:$AY$56, 2, FALSE), "")</f>
        <v/>
      </c>
      <c r="BB52" s="548" t="str">
        <f t="shared" si="25"/>
        <v/>
      </c>
      <c r="BC52" s="648" t="str">
        <f t="shared" si="15"/>
        <v>入力済</v>
      </c>
      <c r="BD52" s="548" t="str">
        <f t="shared" si="17"/>
        <v/>
      </c>
      <c r="BE52" s="548" t="str">
        <f t="shared" si="26"/>
        <v/>
      </c>
      <c r="BF52" s="515"/>
      <c r="BG52" s="515"/>
      <c r="BH52" s="634" t="e">
        <f>VLOOKUP(K52,【参考】数式用!$A$2:$O$57,15,FALSE)</f>
        <v>#N/A</v>
      </c>
      <c r="BI52" s="515"/>
      <c r="BJ52" s="515"/>
      <c r="BK52" s="515"/>
      <c r="BL52" s="515"/>
      <c r="BM52" s="515"/>
      <c r="BN52" s="515"/>
      <c r="BO52" s="516"/>
    </row>
    <row r="53" spans="1:67" s="517" customFormat="1" ht="109.9" customHeight="1" thickBot="1">
      <c r="A53" s="454">
        <v>42</v>
      </c>
      <c r="B53" s="933" t="str">
        <f>IF(基本情報入力シート!B81="","",基本情報入力シート!B81)</f>
        <v/>
      </c>
      <c r="C53" s="934"/>
      <c r="D53" s="934"/>
      <c r="E53" s="934"/>
      <c r="F53" s="935"/>
      <c r="G53" s="455" t="str">
        <f>IF(基本情報入力シート!L81="", "", 基本情報入力シート!L81)</f>
        <v/>
      </c>
      <c r="H53" s="455" t="str">
        <f>IF(基本情報入力シート!Q81="", "", 基本情報入力シート!Q81)</f>
        <v/>
      </c>
      <c r="I53" s="455" t="str">
        <f>IF(基本情報入力シート!V81="", "", 基本情報入力シート!V81)</f>
        <v/>
      </c>
      <c r="J53" s="455" t="str">
        <f>IF(基本情報入力シート!W81="", "", 基本情報入力シート!W81)</f>
        <v/>
      </c>
      <c r="K53" s="455" t="str">
        <f>IF(基本情報入力シート!Z81="", "", 基本情報入力シート!Z81)</f>
        <v/>
      </c>
      <c r="L53" s="101" t="str">
        <f>IF(基本情報入力シート!AF81=0, "",基本情報入力シート!AF81)</f>
        <v/>
      </c>
      <c r="M53" s="142" t="str">
        <f>IF(基本情報入力シート!AG81="","",基本情報入力シート!AG81)</f>
        <v/>
      </c>
      <c r="N53" s="136"/>
      <c r="O53" s="155" t="str">
        <f>IFERROR(VLOOKUP(K53,【参考】数式用!$A$2:$F$57,MATCH(N53,【参考】数式用!$C$3:$F$3,0)+2,0),"")</f>
        <v/>
      </c>
      <c r="P53" s="456" t="s">
        <v>180</v>
      </c>
      <c r="Q53" s="141"/>
      <c r="R53" s="457" t="s">
        <v>271</v>
      </c>
      <c r="S53" s="141"/>
      <c r="T53" s="457" t="s">
        <v>272</v>
      </c>
      <c r="U53" s="141"/>
      <c r="V53" s="457" t="s">
        <v>271</v>
      </c>
      <c r="W53" s="141"/>
      <c r="X53" s="457" t="s">
        <v>182</v>
      </c>
      <c r="Y53" s="457" t="s">
        <v>274</v>
      </c>
      <c r="Z53" s="457" t="str">
        <f t="shared" si="16"/>
        <v/>
      </c>
      <c r="AA53" s="458" t="s">
        <v>275</v>
      </c>
      <c r="AB53" s="459" t="str">
        <f t="shared" si="23"/>
        <v/>
      </c>
      <c r="AC53" s="460" t="str">
        <f>IFERROR(ROUNDDOWN(ROUNDDOWN(ROUND(L53*VLOOKUP(K53,【参考】数式用!$A$4:$F$57,MATCH("処遇改善加算Ⅳ",【参考】数式用!$C$3:$F$3,0)+2,0),0)*M53,0)*Z53*0.5,0), "")</f>
        <v/>
      </c>
      <c r="AD53" s="156"/>
      <c r="AE53" s="157"/>
      <c r="AF53" s="157"/>
      <c r="AG53" s="158"/>
      <c r="AH53" s="159"/>
      <c r="AI53" s="161"/>
      <c r="AJ53" s="161"/>
      <c r="AK53" s="542" t="str">
        <f t="shared" si="1"/>
        <v/>
      </c>
      <c r="AL53" s="543" t="str">
        <f t="shared" si="2"/>
        <v/>
      </c>
      <c r="AM53" s="544"/>
      <c r="AN53" s="548" t="str">
        <f>IFERROR(VLOOKUP(K53,【参考】数式用!$A$2:$N$57,14,FALSE),"")</f>
        <v/>
      </c>
      <c r="AO53" s="548" t="str">
        <f t="shared" si="3"/>
        <v/>
      </c>
      <c r="AP53" s="547" t="str">
        <f t="shared" si="4"/>
        <v/>
      </c>
      <c r="AQ53" s="547" t="str">
        <f t="shared" si="5"/>
        <v>入力済</v>
      </c>
      <c r="AR53" s="548" t="str">
        <f t="shared" si="6"/>
        <v/>
      </c>
      <c r="AS53" s="547" t="str">
        <f t="shared" si="7"/>
        <v>入力済</v>
      </c>
      <c r="AT53" s="547" t="str">
        <f t="shared" si="8"/>
        <v/>
      </c>
      <c r="AU53" s="547" t="str">
        <f t="shared" si="24"/>
        <v/>
      </c>
      <c r="AV53" s="548" t="str">
        <f t="shared" si="10"/>
        <v/>
      </c>
      <c r="AW53" s="548" t="str">
        <f t="shared" si="11"/>
        <v>入力済</v>
      </c>
      <c r="AX53" s="547" t="str">
        <f>IFERROR(VLOOKUP(K53,【参考】数式用!$AR$3:$AS$49,2, FALSE), "")</f>
        <v/>
      </c>
      <c r="AY53" s="548" t="str">
        <f t="shared" si="12"/>
        <v/>
      </c>
      <c r="AZ53" s="548" t="str">
        <f t="shared" si="13"/>
        <v>入力済</v>
      </c>
      <c r="BA53" s="547" t="str">
        <f>IFERROR(VLOOKUP(K53,【参考】数式用!$AX$3:$AY$56, 2, FALSE), "")</f>
        <v/>
      </c>
      <c r="BB53" s="548" t="str">
        <f t="shared" si="25"/>
        <v/>
      </c>
      <c r="BC53" s="648" t="str">
        <f t="shared" si="15"/>
        <v>入力済</v>
      </c>
      <c r="BD53" s="548" t="str">
        <f t="shared" si="17"/>
        <v/>
      </c>
      <c r="BE53" s="548" t="str">
        <f t="shared" si="26"/>
        <v/>
      </c>
      <c r="BF53" s="515"/>
      <c r="BG53" s="515"/>
      <c r="BH53" s="634" t="e">
        <f>VLOOKUP(K53,【参考】数式用!$A$2:$O$57,15,FALSE)</f>
        <v>#N/A</v>
      </c>
      <c r="BI53" s="515"/>
      <c r="BJ53" s="515"/>
      <c r="BK53" s="515"/>
      <c r="BL53" s="515"/>
      <c r="BM53" s="515"/>
      <c r="BN53" s="515"/>
      <c r="BO53" s="516"/>
    </row>
    <row r="54" spans="1:67" s="517" customFormat="1" ht="109.9" customHeight="1" thickBot="1">
      <c r="A54" s="454">
        <v>43</v>
      </c>
      <c r="B54" s="933" t="str">
        <f>IF(基本情報入力シート!B82="","",基本情報入力シート!B82)</f>
        <v/>
      </c>
      <c r="C54" s="934"/>
      <c r="D54" s="934"/>
      <c r="E54" s="934"/>
      <c r="F54" s="935"/>
      <c r="G54" s="455" t="str">
        <f>IF(基本情報入力シート!L82="", "", 基本情報入力シート!L82)</f>
        <v/>
      </c>
      <c r="H54" s="455" t="str">
        <f>IF(基本情報入力シート!Q82="", "", 基本情報入力シート!Q82)</f>
        <v/>
      </c>
      <c r="I54" s="455" t="str">
        <f>IF(基本情報入力シート!V82="", "", 基本情報入力シート!V82)</f>
        <v/>
      </c>
      <c r="J54" s="455" t="str">
        <f>IF(基本情報入力シート!W82="", "", 基本情報入力シート!W82)</f>
        <v/>
      </c>
      <c r="K54" s="455" t="str">
        <f>IF(基本情報入力シート!Z82="", "", 基本情報入力シート!Z82)</f>
        <v/>
      </c>
      <c r="L54" s="101" t="str">
        <f>IF(基本情報入力シート!AF82=0, "",基本情報入力シート!AF82)</f>
        <v/>
      </c>
      <c r="M54" s="142" t="str">
        <f>IF(基本情報入力シート!AG82="","",基本情報入力シート!AG82)</f>
        <v/>
      </c>
      <c r="N54" s="136"/>
      <c r="O54" s="155" t="str">
        <f>IFERROR(VLOOKUP(K54,【参考】数式用!$A$2:$F$57,MATCH(N54,【参考】数式用!$C$3:$F$3,0)+2,0),"")</f>
        <v/>
      </c>
      <c r="P54" s="456" t="s">
        <v>180</v>
      </c>
      <c r="Q54" s="141"/>
      <c r="R54" s="457" t="s">
        <v>271</v>
      </c>
      <c r="S54" s="141"/>
      <c r="T54" s="457" t="s">
        <v>272</v>
      </c>
      <c r="U54" s="141"/>
      <c r="V54" s="457" t="s">
        <v>271</v>
      </c>
      <c r="W54" s="141"/>
      <c r="X54" s="457" t="s">
        <v>273</v>
      </c>
      <c r="Y54" s="457" t="s">
        <v>274</v>
      </c>
      <c r="Z54" s="457" t="str">
        <f t="shared" si="16"/>
        <v/>
      </c>
      <c r="AA54" s="458" t="s">
        <v>275</v>
      </c>
      <c r="AB54" s="459" t="str">
        <f t="shared" si="23"/>
        <v/>
      </c>
      <c r="AC54" s="460" t="str">
        <f>IFERROR(ROUNDDOWN(ROUNDDOWN(ROUND(L54*VLOOKUP(K54,【参考】数式用!$A$4:$F$57,MATCH("処遇改善加算Ⅳ",【参考】数式用!$C$3:$F$3,0)+2,0),0)*M54,0)*Z54*0.5,0), "")</f>
        <v/>
      </c>
      <c r="AD54" s="156"/>
      <c r="AE54" s="157"/>
      <c r="AF54" s="157"/>
      <c r="AG54" s="158"/>
      <c r="AH54" s="159"/>
      <c r="AI54" s="161"/>
      <c r="AJ54" s="161"/>
      <c r="AK54" s="542" t="str">
        <f t="shared" si="1"/>
        <v/>
      </c>
      <c r="AL54" s="543" t="str">
        <f t="shared" si="2"/>
        <v/>
      </c>
      <c r="AM54" s="544"/>
      <c r="AN54" s="548" t="str">
        <f>IFERROR(VLOOKUP(K54,【参考】数式用!$A$2:$N$57,14,FALSE),"")</f>
        <v/>
      </c>
      <c r="AO54" s="548" t="str">
        <f t="shared" si="3"/>
        <v/>
      </c>
      <c r="AP54" s="547" t="str">
        <f t="shared" si="4"/>
        <v/>
      </c>
      <c r="AQ54" s="547" t="str">
        <f t="shared" si="5"/>
        <v>入力済</v>
      </c>
      <c r="AR54" s="548" t="str">
        <f t="shared" si="6"/>
        <v/>
      </c>
      <c r="AS54" s="547" t="str">
        <f t="shared" si="7"/>
        <v>入力済</v>
      </c>
      <c r="AT54" s="547" t="str">
        <f t="shared" si="8"/>
        <v/>
      </c>
      <c r="AU54" s="547" t="str">
        <f t="shared" si="24"/>
        <v/>
      </c>
      <c r="AV54" s="548" t="str">
        <f t="shared" si="10"/>
        <v/>
      </c>
      <c r="AW54" s="548" t="str">
        <f t="shared" si="11"/>
        <v>入力済</v>
      </c>
      <c r="AX54" s="547" t="str">
        <f>IFERROR(VLOOKUP(K54,【参考】数式用!$AR$3:$AS$49,2, FALSE), "")</f>
        <v/>
      </c>
      <c r="AY54" s="548" t="str">
        <f t="shared" si="12"/>
        <v/>
      </c>
      <c r="AZ54" s="548" t="str">
        <f t="shared" si="13"/>
        <v>入力済</v>
      </c>
      <c r="BA54" s="547" t="str">
        <f>IFERROR(VLOOKUP(K54,【参考】数式用!$AX$3:$AY$56, 2, FALSE), "")</f>
        <v/>
      </c>
      <c r="BB54" s="548" t="str">
        <f t="shared" si="25"/>
        <v/>
      </c>
      <c r="BC54" s="648" t="str">
        <f t="shared" si="15"/>
        <v>入力済</v>
      </c>
      <c r="BD54" s="548" t="str">
        <f t="shared" si="17"/>
        <v/>
      </c>
      <c r="BE54" s="548" t="str">
        <f t="shared" si="26"/>
        <v/>
      </c>
      <c r="BF54" s="515"/>
      <c r="BG54" s="515"/>
      <c r="BH54" s="634" t="e">
        <f>VLOOKUP(K54,【参考】数式用!$A$2:$O$57,15,FALSE)</f>
        <v>#N/A</v>
      </c>
      <c r="BI54" s="515"/>
      <c r="BJ54" s="515"/>
      <c r="BK54" s="515"/>
      <c r="BL54" s="515"/>
      <c r="BM54" s="515"/>
      <c r="BN54" s="515"/>
      <c r="BO54" s="516"/>
    </row>
    <row r="55" spans="1:67" s="517" customFormat="1" ht="109.9" customHeight="1" thickBot="1">
      <c r="A55" s="454">
        <v>44</v>
      </c>
      <c r="B55" s="933" t="str">
        <f>IF(基本情報入力シート!B83="","",基本情報入力シート!B83)</f>
        <v/>
      </c>
      <c r="C55" s="934"/>
      <c r="D55" s="934"/>
      <c r="E55" s="934"/>
      <c r="F55" s="935"/>
      <c r="G55" s="455" t="str">
        <f>IF(基本情報入力シート!L83="", "", 基本情報入力シート!L83)</f>
        <v/>
      </c>
      <c r="H55" s="455" t="str">
        <f>IF(基本情報入力シート!Q83="", "", 基本情報入力シート!Q83)</f>
        <v/>
      </c>
      <c r="I55" s="455" t="str">
        <f>IF(基本情報入力シート!V83="", "", 基本情報入力シート!V83)</f>
        <v/>
      </c>
      <c r="J55" s="455" t="str">
        <f>IF(基本情報入力シート!W83="", "", 基本情報入力シート!W83)</f>
        <v/>
      </c>
      <c r="K55" s="455" t="str">
        <f>IF(基本情報入力シート!Z83="", "", 基本情報入力シート!Z83)</f>
        <v/>
      </c>
      <c r="L55" s="101" t="str">
        <f>IF(基本情報入力シート!AF83=0, "",基本情報入力シート!AF83)</f>
        <v/>
      </c>
      <c r="M55" s="142" t="str">
        <f>IF(基本情報入力シート!AG83="","",基本情報入力シート!AG83)</f>
        <v/>
      </c>
      <c r="N55" s="136"/>
      <c r="O55" s="155" t="str">
        <f>IFERROR(VLOOKUP(K55,【参考】数式用!$A$2:$F$57,MATCH(N55,【参考】数式用!$C$3:$F$3,0)+2,0),"")</f>
        <v/>
      </c>
      <c r="P55" s="456" t="s">
        <v>180</v>
      </c>
      <c r="Q55" s="141"/>
      <c r="R55" s="457" t="s">
        <v>271</v>
      </c>
      <c r="S55" s="141"/>
      <c r="T55" s="457" t="s">
        <v>272</v>
      </c>
      <c r="U55" s="141"/>
      <c r="V55" s="457" t="s">
        <v>271</v>
      </c>
      <c r="W55" s="141"/>
      <c r="X55" s="457" t="s">
        <v>273</v>
      </c>
      <c r="Y55" s="457" t="s">
        <v>274</v>
      </c>
      <c r="Z55" s="457" t="str">
        <f t="shared" si="16"/>
        <v/>
      </c>
      <c r="AA55" s="458" t="s">
        <v>275</v>
      </c>
      <c r="AB55" s="459" t="str">
        <f t="shared" si="23"/>
        <v/>
      </c>
      <c r="AC55" s="460" t="str">
        <f>IFERROR(ROUNDDOWN(ROUNDDOWN(ROUND(L55*VLOOKUP(K55,【参考】数式用!$A$4:$F$57,MATCH("処遇改善加算Ⅳ",【参考】数式用!$C$3:$F$3,0)+2,0),0)*M55,0)*Z55*0.5,0), "")</f>
        <v/>
      </c>
      <c r="AD55" s="156"/>
      <c r="AE55" s="157"/>
      <c r="AF55" s="157"/>
      <c r="AG55" s="158"/>
      <c r="AH55" s="159"/>
      <c r="AI55" s="161"/>
      <c r="AJ55" s="161"/>
      <c r="AK55" s="542" t="str">
        <f t="shared" si="1"/>
        <v/>
      </c>
      <c r="AL55" s="543" t="str">
        <f t="shared" si="2"/>
        <v/>
      </c>
      <c r="AM55" s="544"/>
      <c r="AN55" s="548" t="str">
        <f>IFERROR(VLOOKUP(K55,【参考】数式用!$A$2:$N$57,14,FALSE),"")</f>
        <v/>
      </c>
      <c r="AO55" s="548" t="str">
        <f t="shared" si="3"/>
        <v/>
      </c>
      <c r="AP55" s="547" t="str">
        <f t="shared" si="4"/>
        <v/>
      </c>
      <c r="AQ55" s="547" t="str">
        <f t="shared" si="5"/>
        <v>入力済</v>
      </c>
      <c r="AR55" s="548" t="str">
        <f t="shared" si="6"/>
        <v/>
      </c>
      <c r="AS55" s="547" t="str">
        <f t="shared" si="7"/>
        <v>入力済</v>
      </c>
      <c r="AT55" s="547" t="str">
        <f t="shared" si="8"/>
        <v/>
      </c>
      <c r="AU55" s="547" t="str">
        <f t="shared" si="24"/>
        <v/>
      </c>
      <c r="AV55" s="548" t="str">
        <f t="shared" si="10"/>
        <v/>
      </c>
      <c r="AW55" s="548" t="str">
        <f t="shared" si="11"/>
        <v>入力済</v>
      </c>
      <c r="AX55" s="547" t="str">
        <f>IFERROR(VLOOKUP(K55,【参考】数式用!$AR$3:$AS$49,2, FALSE), "")</f>
        <v/>
      </c>
      <c r="AY55" s="548" t="str">
        <f t="shared" si="12"/>
        <v/>
      </c>
      <c r="AZ55" s="548" t="str">
        <f t="shared" si="13"/>
        <v>入力済</v>
      </c>
      <c r="BA55" s="547" t="str">
        <f>IFERROR(VLOOKUP(K55,【参考】数式用!$AX$3:$AY$56, 2, FALSE), "")</f>
        <v/>
      </c>
      <c r="BB55" s="548" t="str">
        <f t="shared" si="25"/>
        <v/>
      </c>
      <c r="BC55" s="648" t="str">
        <f t="shared" si="15"/>
        <v>入力済</v>
      </c>
      <c r="BD55" s="548" t="str">
        <f t="shared" si="17"/>
        <v/>
      </c>
      <c r="BE55" s="548" t="str">
        <f t="shared" si="26"/>
        <v/>
      </c>
      <c r="BF55" s="515"/>
      <c r="BG55" s="515"/>
      <c r="BH55" s="634" t="e">
        <f>VLOOKUP(K55,【参考】数式用!$A$2:$O$57,15,FALSE)</f>
        <v>#N/A</v>
      </c>
      <c r="BI55" s="515"/>
      <c r="BJ55" s="515"/>
      <c r="BK55" s="515"/>
      <c r="BL55" s="515"/>
      <c r="BM55" s="515"/>
      <c r="BN55" s="515"/>
      <c r="BO55" s="516"/>
    </row>
    <row r="56" spans="1:67" s="517" customFormat="1" ht="109.9" customHeight="1" thickBot="1">
      <c r="A56" s="454">
        <v>45</v>
      </c>
      <c r="B56" s="933" t="str">
        <f>IF(基本情報入力シート!B84="","",基本情報入力シート!B84)</f>
        <v/>
      </c>
      <c r="C56" s="934"/>
      <c r="D56" s="934"/>
      <c r="E56" s="934"/>
      <c r="F56" s="935"/>
      <c r="G56" s="455" t="str">
        <f>IF(基本情報入力シート!L84="", "", 基本情報入力シート!L84)</f>
        <v/>
      </c>
      <c r="H56" s="455" t="str">
        <f>IF(基本情報入力シート!Q84="", "", 基本情報入力シート!Q84)</f>
        <v/>
      </c>
      <c r="I56" s="455" t="str">
        <f>IF(基本情報入力シート!V84="", "", 基本情報入力シート!V84)</f>
        <v/>
      </c>
      <c r="J56" s="455" t="str">
        <f>IF(基本情報入力シート!W84="", "", 基本情報入力シート!W84)</f>
        <v/>
      </c>
      <c r="K56" s="455" t="str">
        <f>IF(基本情報入力シート!Z84="", "", 基本情報入力シート!Z84)</f>
        <v/>
      </c>
      <c r="L56" s="101" t="str">
        <f>IF(基本情報入力シート!AF84=0, "",基本情報入力シート!AF84)</f>
        <v/>
      </c>
      <c r="M56" s="142" t="str">
        <f>IF(基本情報入力シート!AG84="","",基本情報入力シート!AG84)</f>
        <v/>
      </c>
      <c r="N56" s="136"/>
      <c r="O56" s="155" t="str">
        <f>IFERROR(VLOOKUP(K56,【参考】数式用!$A$2:$F$57,MATCH(N56,【参考】数式用!$C$3:$F$3,0)+2,0),"")</f>
        <v/>
      </c>
      <c r="P56" s="456" t="s">
        <v>180</v>
      </c>
      <c r="Q56" s="141"/>
      <c r="R56" s="457" t="s">
        <v>271</v>
      </c>
      <c r="S56" s="141"/>
      <c r="T56" s="457" t="s">
        <v>272</v>
      </c>
      <c r="U56" s="141"/>
      <c r="V56" s="457" t="s">
        <v>271</v>
      </c>
      <c r="W56" s="141"/>
      <c r="X56" s="457" t="s">
        <v>273</v>
      </c>
      <c r="Y56" s="457" t="s">
        <v>274</v>
      </c>
      <c r="Z56" s="457" t="str">
        <f t="shared" si="16"/>
        <v/>
      </c>
      <c r="AA56" s="458" t="s">
        <v>275</v>
      </c>
      <c r="AB56" s="459" t="str">
        <f t="shared" si="23"/>
        <v/>
      </c>
      <c r="AC56" s="460" t="str">
        <f>IFERROR(ROUNDDOWN(ROUNDDOWN(ROUND(L56*VLOOKUP(K56,【参考】数式用!$A$4:$F$57,MATCH("処遇改善加算Ⅳ",【参考】数式用!$C$3:$F$3,0)+2,0),0)*M56,0)*Z56*0.5,0), "")</f>
        <v/>
      </c>
      <c r="AD56" s="156"/>
      <c r="AE56" s="157"/>
      <c r="AF56" s="157"/>
      <c r="AG56" s="158"/>
      <c r="AH56" s="159"/>
      <c r="AI56" s="161"/>
      <c r="AJ56" s="161"/>
      <c r="AK56" s="542" t="str">
        <f t="shared" si="1"/>
        <v/>
      </c>
      <c r="AL56" s="543" t="str">
        <f t="shared" si="2"/>
        <v/>
      </c>
      <c r="AM56" s="544"/>
      <c r="AN56" s="548" t="str">
        <f>IFERROR(VLOOKUP(K56,【参考】数式用!$A$2:$N$57,14,FALSE),"")</f>
        <v/>
      </c>
      <c r="AO56" s="548" t="str">
        <f t="shared" si="3"/>
        <v/>
      </c>
      <c r="AP56" s="547" t="str">
        <f t="shared" si="4"/>
        <v/>
      </c>
      <c r="AQ56" s="547" t="str">
        <f t="shared" si="5"/>
        <v>入力済</v>
      </c>
      <c r="AR56" s="548" t="str">
        <f t="shared" si="6"/>
        <v/>
      </c>
      <c r="AS56" s="547" t="str">
        <f t="shared" si="7"/>
        <v>入力済</v>
      </c>
      <c r="AT56" s="547" t="str">
        <f t="shared" si="8"/>
        <v/>
      </c>
      <c r="AU56" s="547" t="str">
        <f t="shared" si="24"/>
        <v/>
      </c>
      <c r="AV56" s="548" t="str">
        <f t="shared" si="10"/>
        <v/>
      </c>
      <c r="AW56" s="548" t="str">
        <f t="shared" si="11"/>
        <v>入力済</v>
      </c>
      <c r="AX56" s="547" t="str">
        <f>IFERROR(VLOOKUP(K56,【参考】数式用!$AR$3:$AS$49,2, FALSE), "")</f>
        <v/>
      </c>
      <c r="AY56" s="548" t="str">
        <f t="shared" si="12"/>
        <v/>
      </c>
      <c r="AZ56" s="548" t="str">
        <f t="shared" si="13"/>
        <v>入力済</v>
      </c>
      <c r="BA56" s="547" t="str">
        <f>IFERROR(VLOOKUP(K56,【参考】数式用!$AX$3:$AY$56, 2, FALSE), "")</f>
        <v/>
      </c>
      <c r="BB56" s="548" t="str">
        <f t="shared" si="25"/>
        <v/>
      </c>
      <c r="BC56" s="648" t="str">
        <f t="shared" si="15"/>
        <v>入力済</v>
      </c>
      <c r="BD56" s="548" t="str">
        <f t="shared" si="17"/>
        <v/>
      </c>
      <c r="BE56" s="548" t="str">
        <f t="shared" si="26"/>
        <v/>
      </c>
      <c r="BF56" s="515"/>
      <c r="BG56" s="515"/>
      <c r="BH56" s="634" t="e">
        <f>VLOOKUP(K56,【参考】数式用!$A$2:$O$57,15,FALSE)</f>
        <v>#N/A</v>
      </c>
      <c r="BI56" s="515"/>
      <c r="BJ56" s="515"/>
      <c r="BK56" s="515"/>
      <c r="BL56" s="515"/>
      <c r="BM56" s="515"/>
      <c r="BN56" s="515"/>
      <c r="BO56" s="516"/>
    </row>
    <row r="57" spans="1:67" s="517" customFormat="1" ht="109.9" customHeight="1" thickBot="1">
      <c r="A57" s="454">
        <v>46</v>
      </c>
      <c r="B57" s="933" t="str">
        <f>IF(基本情報入力シート!B85="","",基本情報入力シート!B85)</f>
        <v/>
      </c>
      <c r="C57" s="934"/>
      <c r="D57" s="934"/>
      <c r="E57" s="934"/>
      <c r="F57" s="935"/>
      <c r="G57" s="455" t="str">
        <f>IF(基本情報入力シート!L85="", "", 基本情報入力シート!L85)</f>
        <v/>
      </c>
      <c r="H57" s="455" t="str">
        <f>IF(基本情報入力シート!Q85="", "", 基本情報入力シート!Q85)</f>
        <v/>
      </c>
      <c r="I57" s="455" t="str">
        <f>IF(基本情報入力シート!V85="", "", 基本情報入力シート!V85)</f>
        <v/>
      </c>
      <c r="J57" s="455" t="str">
        <f>IF(基本情報入力シート!W85="", "", 基本情報入力シート!W85)</f>
        <v/>
      </c>
      <c r="K57" s="455" t="str">
        <f>IF(基本情報入力シート!Z85="", "", 基本情報入力シート!Z85)</f>
        <v/>
      </c>
      <c r="L57" s="101" t="str">
        <f>IF(基本情報入力シート!AF85=0, "",基本情報入力シート!AF85)</f>
        <v/>
      </c>
      <c r="M57" s="142" t="str">
        <f>IF(基本情報入力シート!AG85="","",基本情報入力シート!AG85)</f>
        <v/>
      </c>
      <c r="N57" s="136"/>
      <c r="O57" s="155" t="str">
        <f>IFERROR(VLOOKUP(K57,【参考】数式用!$A$2:$F$57,MATCH(N57,【参考】数式用!$C$3:$F$3,0)+2,0),"")</f>
        <v/>
      </c>
      <c r="P57" s="456" t="s">
        <v>180</v>
      </c>
      <c r="Q57" s="141"/>
      <c r="R57" s="457" t="s">
        <v>271</v>
      </c>
      <c r="S57" s="141"/>
      <c r="T57" s="457" t="s">
        <v>272</v>
      </c>
      <c r="U57" s="141"/>
      <c r="V57" s="457" t="s">
        <v>271</v>
      </c>
      <c r="W57" s="141"/>
      <c r="X57" s="457" t="s">
        <v>182</v>
      </c>
      <c r="Y57" s="457" t="s">
        <v>274</v>
      </c>
      <c r="Z57" s="457" t="str">
        <f t="shared" si="16"/>
        <v/>
      </c>
      <c r="AA57" s="458" t="s">
        <v>275</v>
      </c>
      <c r="AB57" s="459" t="str">
        <f t="shared" si="23"/>
        <v/>
      </c>
      <c r="AC57" s="460" t="str">
        <f>IFERROR(ROUNDDOWN(ROUNDDOWN(ROUND(L57*VLOOKUP(K57,【参考】数式用!$A$4:$F$57,MATCH("処遇改善加算Ⅳ",【参考】数式用!$C$3:$F$3,0)+2,0),0)*M57,0)*Z57*0.5,0), "")</f>
        <v/>
      </c>
      <c r="AD57" s="156"/>
      <c r="AE57" s="157"/>
      <c r="AF57" s="157"/>
      <c r="AG57" s="158"/>
      <c r="AH57" s="159"/>
      <c r="AI57" s="161"/>
      <c r="AJ57" s="161"/>
      <c r="AK57" s="542" t="str">
        <f t="shared" si="1"/>
        <v/>
      </c>
      <c r="AL57" s="543" t="str">
        <f t="shared" si="2"/>
        <v/>
      </c>
      <c r="AM57" s="544"/>
      <c r="AN57" s="548" t="str">
        <f>IFERROR(VLOOKUP(K57,【参考】数式用!$A$2:$N$57,14,FALSE),"")</f>
        <v/>
      </c>
      <c r="AO57" s="548" t="str">
        <f t="shared" si="3"/>
        <v/>
      </c>
      <c r="AP57" s="547" t="str">
        <f t="shared" si="4"/>
        <v/>
      </c>
      <c r="AQ57" s="547" t="str">
        <f t="shared" si="5"/>
        <v>入力済</v>
      </c>
      <c r="AR57" s="548" t="str">
        <f t="shared" si="6"/>
        <v/>
      </c>
      <c r="AS57" s="547" t="str">
        <f t="shared" si="7"/>
        <v>入力済</v>
      </c>
      <c r="AT57" s="547" t="str">
        <f t="shared" si="8"/>
        <v/>
      </c>
      <c r="AU57" s="547" t="str">
        <f t="shared" si="24"/>
        <v/>
      </c>
      <c r="AV57" s="548" t="str">
        <f t="shared" si="10"/>
        <v/>
      </c>
      <c r="AW57" s="548" t="str">
        <f t="shared" si="11"/>
        <v>入力済</v>
      </c>
      <c r="AX57" s="547" t="str">
        <f>IFERROR(VLOOKUP(K57,【参考】数式用!$AR$3:$AS$49,2, FALSE), "")</f>
        <v/>
      </c>
      <c r="AY57" s="548" t="str">
        <f t="shared" si="12"/>
        <v/>
      </c>
      <c r="AZ57" s="548" t="str">
        <f t="shared" si="13"/>
        <v>入力済</v>
      </c>
      <c r="BA57" s="547" t="str">
        <f>IFERROR(VLOOKUP(K57,【参考】数式用!$AX$3:$AY$56, 2, FALSE), "")</f>
        <v/>
      </c>
      <c r="BB57" s="548" t="str">
        <f t="shared" si="25"/>
        <v/>
      </c>
      <c r="BC57" s="648" t="str">
        <f t="shared" si="15"/>
        <v>入力済</v>
      </c>
      <c r="BD57" s="548" t="str">
        <f t="shared" si="17"/>
        <v/>
      </c>
      <c r="BE57" s="548" t="str">
        <f t="shared" si="26"/>
        <v/>
      </c>
      <c r="BF57" s="515"/>
      <c r="BG57" s="515"/>
      <c r="BH57" s="634" t="e">
        <f>VLOOKUP(K57,【参考】数式用!$A$2:$O$57,15,FALSE)</f>
        <v>#N/A</v>
      </c>
      <c r="BI57" s="515"/>
      <c r="BJ57" s="515"/>
      <c r="BK57" s="515"/>
      <c r="BL57" s="515"/>
      <c r="BM57" s="515"/>
      <c r="BN57" s="515"/>
      <c r="BO57" s="516"/>
    </row>
    <row r="58" spans="1:67" s="517" customFormat="1" ht="109.9" customHeight="1" thickBot="1">
      <c r="A58" s="454">
        <v>47</v>
      </c>
      <c r="B58" s="933" t="str">
        <f>IF(基本情報入力シート!B86="","",基本情報入力シート!B86)</f>
        <v/>
      </c>
      <c r="C58" s="934"/>
      <c r="D58" s="934"/>
      <c r="E58" s="934"/>
      <c r="F58" s="935"/>
      <c r="G58" s="455" t="str">
        <f>IF(基本情報入力シート!L86="", "", 基本情報入力シート!L86)</f>
        <v/>
      </c>
      <c r="H58" s="455" t="str">
        <f>IF(基本情報入力シート!Q86="", "", 基本情報入力シート!Q86)</f>
        <v/>
      </c>
      <c r="I58" s="455" t="str">
        <f>IF(基本情報入力シート!V86="", "", 基本情報入力シート!V86)</f>
        <v/>
      </c>
      <c r="J58" s="455" t="str">
        <f>IF(基本情報入力シート!W86="", "", 基本情報入力シート!W86)</f>
        <v/>
      </c>
      <c r="K58" s="455" t="str">
        <f>IF(基本情報入力シート!Z86="", "", 基本情報入力シート!Z86)</f>
        <v/>
      </c>
      <c r="L58" s="101" t="str">
        <f>IF(基本情報入力シート!AF86=0, "",基本情報入力シート!AF86)</f>
        <v/>
      </c>
      <c r="M58" s="142" t="str">
        <f>IF(基本情報入力シート!AG86="","",基本情報入力シート!AG86)</f>
        <v/>
      </c>
      <c r="N58" s="136"/>
      <c r="O58" s="155" t="str">
        <f>IFERROR(VLOOKUP(K58,【参考】数式用!$A$2:$F$57,MATCH(N58,【参考】数式用!$C$3:$F$3,0)+2,0),"")</f>
        <v/>
      </c>
      <c r="P58" s="456" t="s">
        <v>180</v>
      </c>
      <c r="Q58" s="141"/>
      <c r="R58" s="457" t="s">
        <v>271</v>
      </c>
      <c r="S58" s="141"/>
      <c r="T58" s="457" t="s">
        <v>272</v>
      </c>
      <c r="U58" s="141"/>
      <c r="V58" s="457" t="s">
        <v>271</v>
      </c>
      <c r="W58" s="141"/>
      <c r="X58" s="457" t="s">
        <v>273</v>
      </c>
      <c r="Y58" s="457" t="s">
        <v>274</v>
      </c>
      <c r="Z58" s="457" t="str">
        <f t="shared" si="16"/>
        <v/>
      </c>
      <c r="AA58" s="458" t="s">
        <v>275</v>
      </c>
      <c r="AB58" s="459" t="str">
        <f t="shared" si="23"/>
        <v/>
      </c>
      <c r="AC58" s="460" t="str">
        <f>IFERROR(ROUNDDOWN(ROUNDDOWN(ROUND(L58*VLOOKUP(K58,【参考】数式用!$A$4:$F$57,MATCH("処遇改善加算Ⅳ",【参考】数式用!$C$3:$F$3,0)+2,0),0)*M58,0)*Z58*0.5,0), "")</f>
        <v/>
      </c>
      <c r="AD58" s="156"/>
      <c r="AE58" s="157"/>
      <c r="AF58" s="157"/>
      <c r="AG58" s="158"/>
      <c r="AH58" s="159"/>
      <c r="AI58" s="161"/>
      <c r="AJ58" s="161"/>
      <c r="AK58" s="542" t="str">
        <f t="shared" si="1"/>
        <v/>
      </c>
      <c r="AL58" s="543" t="str">
        <f t="shared" si="2"/>
        <v/>
      </c>
      <c r="AM58" s="544"/>
      <c r="AN58" s="548" t="str">
        <f>IFERROR(VLOOKUP(K58,【参考】数式用!$A$2:$N$57,14,FALSE),"")</f>
        <v/>
      </c>
      <c r="AO58" s="548" t="str">
        <f t="shared" si="3"/>
        <v/>
      </c>
      <c r="AP58" s="547" t="str">
        <f t="shared" si="4"/>
        <v/>
      </c>
      <c r="AQ58" s="547" t="str">
        <f t="shared" si="5"/>
        <v>入力済</v>
      </c>
      <c r="AR58" s="548" t="str">
        <f t="shared" si="6"/>
        <v/>
      </c>
      <c r="AS58" s="547" t="str">
        <f t="shared" si="7"/>
        <v>入力済</v>
      </c>
      <c r="AT58" s="547" t="str">
        <f t="shared" si="8"/>
        <v/>
      </c>
      <c r="AU58" s="547" t="str">
        <f t="shared" si="24"/>
        <v/>
      </c>
      <c r="AV58" s="548" t="str">
        <f t="shared" si="10"/>
        <v/>
      </c>
      <c r="AW58" s="548" t="str">
        <f t="shared" si="11"/>
        <v>入力済</v>
      </c>
      <c r="AX58" s="547" t="str">
        <f>IFERROR(VLOOKUP(K58,【参考】数式用!$AR$3:$AS$49,2, FALSE), "")</f>
        <v/>
      </c>
      <c r="AY58" s="548" t="str">
        <f t="shared" si="12"/>
        <v/>
      </c>
      <c r="AZ58" s="548" t="str">
        <f t="shared" si="13"/>
        <v>入力済</v>
      </c>
      <c r="BA58" s="547" t="str">
        <f>IFERROR(VLOOKUP(K58,【参考】数式用!$AX$3:$AY$56, 2, FALSE), "")</f>
        <v/>
      </c>
      <c r="BB58" s="548" t="str">
        <f t="shared" si="25"/>
        <v/>
      </c>
      <c r="BC58" s="648" t="str">
        <f t="shared" si="15"/>
        <v>入力済</v>
      </c>
      <c r="BD58" s="548" t="str">
        <f t="shared" si="17"/>
        <v/>
      </c>
      <c r="BE58" s="548" t="str">
        <f t="shared" si="26"/>
        <v/>
      </c>
      <c r="BF58" s="515"/>
      <c r="BG58" s="515"/>
      <c r="BH58" s="634" t="e">
        <f>VLOOKUP(K58,【参考】数式用!$A$2:$O$57,15,FALSE)</f>
        <v>#N/A</v>
      </c>
      <c r="BI58" s="515"/>
      <c r="BJ58" s="515"/>
      <c r="BK58" s="515"/>
      <c r="BL58" s="515"/>
      <c r="BM58" s="515"/>
      <c r="BN58" s="515"/>
      <c r="BO58" s="516"/>
    </row>
    <row r="59" spans="1:67" s="517" customFormat="1" ht="109.9" customHeight="1" thickBot="1">
      <c r="A59" s="454">
        <v>48</v>
      </c>
      <c r="B59" s="933" t="str">
        <f>IF(基本情報入力シート!B87="","",基本情報入力シート!B87)</f>
        <v/>
      </c>
      <c r="C59" s="934"/>
      <c r="D59" s="934"/>
      <c r="E59" s="934"/>
      <c r="F59" s="935"/>
      <c r="G59" s="455" t="str">
        <f>IF(基本情報入力シート!L87="", "", 基本情報入力シート!L87)</f>
        <v/>
      </c>
      <c r="H59" s="455" t="str">
        <f>IF(基本情報入力シート!Q87="", "", 基本情報入力シート!Q87)</f>
        <v/>
      </c>
      <c r="I59" s="455" t="str">
        <f>IF(基本情報入力シート!V87="", "", 基本情報入力シート!V87)</f>
        <v/>
      </c>
      <c r="J59" s="455" t="str">
        <f>IF(基本情報入力シート!W87="", "", 基本情報入力シート!W87)</f>
        <v/>
      </c>
      <c r="K59" s="455" t="str">
        <f>IF(基本情報入力シート!Z87="", "", 基本情報入力シート!Z87)</f>
        <v/>
      </c>
      <c r="L59" s="101" t="str">
        <f>IF(基本情報入力シート!AF87=0, "",基本情報入力シート!AF87)</f>
        <v/>
      </c>
      <c r="M59" s="142" t="str">
        <f>IF(基本情報入力シート!AG87="","",基本情報入力シート!AG87)</f>
        <v/>
      </c>
      <c r="N59" s="136"/>
      <c r="O59" s="155" t="str">
        <f>IFERROR(VLOOKUP(K59,【参考】数式用!$A$2:$F$57,MATCH(N59,【参考】数式用!$C$3:$F$3,0)+2,0),"")</f>
        <v/>
      </c>
      <c r="P59" s="456" t="s">
        <v>180</v>
      </c>
      <c r="Q59" s="141"/>
      <c r="R59" s="457" t="s">
        <v>271</v>
      </c>
      <c r="S59" s="141"/>
      <c r="T59" s="457" t="s">
        <v>272</v>
      </c>
      <c r="U59" s="141"/>
      <c r="V59" s="457" t="s">
        <v>271</v>
      </c>
      <c r="W59" s="141"/>
      <c r="X59" s="457" t="s">
        <v>273</v>
      </c>
      <c r="Y59" s="457" t="s">
        <v>274</v>
      </c>
      <c r="Z59" s="457" t="str">
        <f t="shared" si="16"/>
        <v/>
      </c>
      <c r="AA59" s="458" t="s">
        <v>275</v>
      </c>
      <c r="AB59" s="459" t="str">
        <f t="shared" si="23"/>
        <v/>
      </c>
      <c r="AC59" s="460" t="str">
        <f>IFERROR(ROUNDDOWN(ROUNDDOWN(ROUND(L59*VLOOKUP(K59,【参考】数式用!$A$4:$F$57,MATCH("処遇改善加算Ⅳ",【参考】数式用!$C$3:$F$3,0)+2,0),0)*M59,0)*Z59*0.5,0), "")</f>
        <v/>
      </c>
      <c r="AD59" s="156"/>
      <c r="AE59" s="157"/>
      <c r="AF59" s="157"/>
      <c r="AG59" s="158"/>
      <c r="AH59" s="159"/>
      <c r="AI59" s="161"/>
      <c r="AJ59" s="161"/>
      <c r="AK59" s="542" t="str">
        <f t="shared" si="1"/>
        <v/>
      </c>
      <c r="AL59" s="543" t="str">
        <f t="shared" si="2"/>
        <v/>
      </c>
      <c r="AM59" s="544"/>
      <c r="AN59" s="548" t="str">
        <f>IFERROR(VLOOKUP(K59,【参考】数式用!$A$2:$N$57,14,FALSE),"")</f>
        <v/>
      </c>
      <c r="AO59" s="548" t="str">
        <f t="shared" si="3"/>
        <v/>
      </c>
      <c r="AP59" s="547" t="str">
        <f t="shared" si="4"/>
        <v/>
      </c>
      <c r="AQ59" s="547" t="str">
        <f t="shared" si="5"/>
        <v>入力済</v>
      </c>
      <c r="AR59" s="548" t="str">
        <f t="shared" si="6"/>
        <v/>
      </c>
      <c r="AS59" s="547" t="str">
        <f t="shared" si="7"/>
        <v>入力済</v>
      </c>
      <c r="AT59" s="547" t="str">
        <f t="shared" si="8"/>
        <v/>
      </c>
      <c r="AU59" s="547" t="str">
        <f t="shared" si="24"/>
        <v/>
      </c>
      <c r="AV59" s="548" t="str">
        <f t="shared" si="10"/>
        <v/>
      </c>
      <c r="AW59" s="548" t="str">
        <f t="shared" si="11"/>
        <v>入力済</v>
      </c>
      <c r="AX59" s="547" t="str">
        <f>IFERROR(VLOOKUP(K59,【参考】数式用!$AR$3:$AS$49,2, FALSE), "")</f>
        <v/>
      </c>
      <c r="AY59" s="548" t="str">
        <f t="shared" si="12"/>
        <v/>
      </c>
      <c r="AZ59" s="548" t="str">
        <f t="shared" si="13"/>
        <v>入力済</v>
      </c>
      <c r="BA59" s="547" t="str">
        <f>IFERROR(VLOOKUP(K59,【参考】数式用!$AX$3:$AY$56, 2, FALSE), "")</f>
        <v/>
      </c>
      <c r="BB59" s="548" t="str">
        <f t="shared" si="25"/>
        <v/>
      </c>
      <c r="BC59" s="648" t="str">
        <f t="shared" si="15"/>
        <v>入力済</v>
      </c>
      <c r="BD59" s="548" t="str">
        <f t="shared" si="17"/>
        <v/>
      </c>
      <c r="BE59" s="548" t="str">
        <f t="shared" si="26"/>
        <v/>
      </c>
      <c r="BF59" s="515"/>
      <c r="BG59" s="515"/>
      <c r="BH59" s="634" t="e">
        <f>VLOOKUP(K59,【参考】数式用!$A$2:$O$57,15,FALSE)</f>
        <v>#N/A</v>
      </c>
      <c r="BI59" s="515"/>
      <c r="BJ59" s="515"/>
      <c r="BK59" s="515"/>
      <c r="BL59" s="515"/>
      <c r="BM59" s="515"/>
      <c r="BN59" s="515"/>
      <c r="BO59" s="516"/>
    </row>
    <row r="60" spans="1:67" s="517" customFormat="1" ht="109.9" customHeight="1" thickBot="1">
      <c r="A60" s="454">
        <v>49</v>
      </c>
      <c r="B60" s="933" t="str">
        <f>IF(基本情報入力シート!B88="","",基本情報入力シート!B88)</f>
        <v/>
      </c>
      <c r="C60" s="934"/>
      <c r="D60" s="934"/>
      <c r="E60" s="934"/>
      <c r="F60" s="935"/>
      <c r="G60" s="455" t="str">
        <f>IF(基本情報入力シート!L88="", "", 基本情報入力シート!L88)</f>
        <v/>
      </c>
      <c r="H60" s="455" t="str">
        <f>IF(基本情報入力シート!Q88="", "", 基本情報入力シート!Q88)</f>
        <v/>
      </c>
      <c r="I60" s="455" t="str">
        <f>IF(基本情報入力シート!V88="", "", 基本情報入力シート!V88)</f>
        <v/>
      </c>
      <c r="J60" s="455" t="str">
        <f>IF(基本情報入力シート!W88="", "", 基本情報入力シート!W88)</f>
        <v/>
      </c>
      <c r="K60" s="455" t="str">
        <f>IF(基本情報入力シート!Z88="", "", 基本情報入力シート!Z88)</f>
        <v/>
      </c>
      <c r="L60" s="101" t="str">
        <f>IF(基本情報入力シート!AF88=0, "",基本情報入力シート!AF88)</f>
        <v/>
      </c>
      <c r="M60" s="142" t="str">
        <f>IF(基本情報入力シート!AG88="","",基本情報入力シート!AG88)</f>
        <v/>
      </c>
      <c r="N60" s="136"/>
      <c r="O60" s="155" t="str">
        <f>IFERROR(VLOOKUP(K60,【参考】数式用!$A$2:$F$57,MATCH(N60,【参考】数式用!$C$3:$F$3,0)+2,0),"")</f>
        <v/>
      </c>
      <c r="P60" s="456" t="s">
        <v>180</v>
      </c>
      <c r="Q60" s="141"/>
      <c r="R60" s="457" t="s">
        <v>271</v>
      </c>
      <c r="S60" s="141"/>
      <c r="T60" s="457" t="s">
        <v>272</v>
      </c>
      <c r="U60" s="141"/>
      <c r="V60" s="457" t="s">
        <v>271</v>
      </c>
      <c r="W60" s="141"/>
      <c r="X60" s="457" t="s">
        <v>273</v>
      </c>
      <c r="Y60" s="457" t="s">
        <v>274</v>
      </c>
      <c r="Z60" s="457" t="str">
        <f t="shared" si="16"/>
        <v/>
      </c>
      <c r="AA60" s="458" t="s">
        <v>275</v>
      </c>
      <c r="AB60" s="459" t="str">
        <f t="shared" si="23"/>
        <v/>
      </c>
      <c r="AC60" s="460" t="str">
        <f>IFERROR(ROUNDDOWN(ROUNDDOWN(ROUND(L60*VLOOKUP(K60,【参考】数式用!$A$4:$F$57,MATCH("処遇改善加算Ⅳ",【参考】数式用!$C$3:$F$3,0)+2,0),0)*M60,0)*Z60*0.5,0), "")</f>
        <v/>
      </c>
      <c r="AD60" s="156"/>
      <c r="AE60" s="157"/>
      <c r="AF60" s="157"/>
      <c r="AG60" s="158"/>
      <c r="AH60" s="159"/>
      <c r="AI60" s="161"/>
      <c r="AJ60" s="161"/>
      <c r="AK60" s="542" t="str">
        <f t="shared" si="1"/>
        <v/>
      </c>
      <c r="AL60" s="543" t="str">
        <f t="shared" si="2"/>
        <v/>
      </c>
      <c r="AM60" s="544"/>
      <c r="AN60" s="548" t="str">
        <f>IFERROR(VLOOKUP(K60,【参考】数式用!$A$2:$N$57,14,FALSE),"")</f>
        <v/>
      </c>
      <c r="AO60" s="548" t="str">
        <f t="shared" si="3"/>
        <v/>
      </c>
      <c r="AP60" s="547" t="str">
        <f t="shared" si="4"/>
        <v/>
      </c>
      <c r="AQ60" s="547" t="str">
        <f t="shared" si="5"/>
        <v>入力済</v>
      </c>
      <c r="AR60" s="548" t="str">
        <f t="shared" si="6"/>
        <v/>
      </c>
      <c r="AS60" s="547" t="str">
        <f t="shared" si="7"/>
        <v>入力済</v>
      </c>
      <c r="AT60" s="547" t="str">
        <f t="shared" si="8"/>
        <v/>
      </c>
      <c r="AU60" s="547" t="str">
        <f t="shared" si="24"/>
        <v/>
      </c>
      <c r="AV60" s="548" t="str">
        <f t="shared" si="10"/>
        <v/>
      </c>
      <c r="AW60" s="548" t="str">
        <f t="shared" si="11"/>
        <v>入力済</v>
      </c>
      <c r="AX60" s="547" t="str">
        <f>IFERROR(VLOOKUP(K60,【参考】数式用!$AR$3:$AS$49,2, FALSE), "")</f>
        <v/>
      </c>
      <c r="AY60" s="548" t="str">
        <f t="shared" si="12"/>
        <v/>
      </c>
      <c r="AZ60" s="548" t="str">
        <f t="shared" si="13"/>
        <v>入力済</v>
      </c>
      <c r="BA60" s="547" t="str">
        <f>IFERROR(VLOOKUP(K60,【参考】数式用!$AX$3:$AY$56, 2, FALSE), "")</f>
        <v/>
      </c>
      <c r="BB60" s="548" t="str">
        <f t="shared" si="25"/>
        <v/>
      </c>
      <c r="BC60" s="648" t="str">
        <f t="shared" si="15"/>
        <v>入力済</v>
      </c>
      <c r="BD60" s="548" t="str">
        <f t="shared" si="17"/>
        <v/>
      </c>
      <c r="BE60" s="548" t="str">
        <f t="shared" si="26"/>
        <v/>
      </c>
      <c r="BF60" s="515"/>
      <c r="BG60" s="515"/>
      <c r="BH60" s="634" t="e">
        <f>VLOOKUP(K60,【参考】数式用!$A$2:$O$57,15,FALSE)</f>
        <v>#N/A</v>
      </c>
      <c r="BI60" s="515"/>
      <c r="BJ60" s="515"/>
      <c r="BK60" s="515"/>
      <c r="BL60" s="515"/>
      <c r="BM60" s="515"/>
      <c r="BN60" s="515"/>
      <c r="BO60" s="516"/>
    </row>
    <row r="61" spans="1:67" s="517" customFormat="1" ht="109.9" customHeight="1" thickBot="1">
      <c r="A61" s="454">
        <v>50</v>
      </c>
      <c r="B61" s="933" t="str">
        <f>IF(基本情報入力シート!B89="","",基本情報入力シート!B89)</f>
        <v/>
      </c>
      <c r="C61" s="934"/>
      <c r="D61" s="934"/>
      <c r="E61" s="934"/>
      <c r="F61" s="935"/>
      <c r="G61" s="455" t="str">
        <f>IF(基本情報入力シート!L89="", "", 基本情報入力シート!L89)</f>
        <v/>
      </c>
      <c r="H61" s="455" t="str">
        <f>IF(基本情報入力シート!Q89="", "", 基本情報入力シート!Q89)</f>
        <v/>
      </c>
      <c r="I61" s="455" t="str">
        <f>IF(基本情報入力シート!V89="", "", 基本情報入力シート!V89)</f>
        <v/>
      </c>
      <c r="J61" s="455" t="str">
        <f>IF(基本情報入力シート!W89="", "", 基本情報入力シート!W89)</f>
        <v/>
      </c>
      <c r="K61" s="455" t="str">
        <f>IF(基本情報入力シート!Z89="", "", 基本情報入力シート!Z89)</f>
        <v/>
      </c>
      <c r="L61" s="101" t="str">
        <f>IF(基本情報入力シート!AF89=0, "",基本情報入力シート!AF89)</f>
        <v/>
      </c>
      <c r="M61" s="142" t="str">
        <f>IF(基本情報入力シート!AG89="","",基本情報入力シート!AG89)</f>
        <v/>
      </c>
      <c r="N61" s="136"/>
      <c r="O61" s="155" t="str">
        <f>IFERROR(VLOOKUP(K61,【参考】数式用!$A$2:$F$57,MATCH(N61,【参考】数式用!$C$3:$F$3,0)+2,0),"")</f>
        <v/>
      </c>
      <c r="P61" s="456" t="s">
        <v>180</v>
      </c>
      <c r="Q61" s="141"/>
      <c r="R61" s="457" t="s">
        <v>271</v>
      </c>
      <c r="S61" s="141"/>
      <c r="T61" s="457" t="s">
        <v>272</v>
      </c>
      <c r="U61" s="141"/>
      <c r="V61" s="457" t="s">
        <v>271</v>
      </c>
      <c r="W61" s="141"/>
      <c r="X61" s="457" t="s">
        <v>182</v>
      </c>
      <c r="Y61" s="457" t="s">
        <v>274</v>
      </c>
      <c r="Z61" s="457" t="str">
        <f t="shared" si="16"/>
        <v/>
      </c>
      <c r="AA61" s="458" t="s">
        <v>275</v>
      </c>
      <c r="AB61" s="459" t="str">
        <f t="shared" si="23"/>
        <v/>
      </c>
      <c r="AC61" s="460" t="str">
        <f>IFERROR(ROUNDDOWN(ROUNDDOWN(ROUND(L61*VLOOKUP(K61,【参考】数式用!$A$4:$F$57,MATCH("処遇改善加算Ⅳ",【参考】数式用!$C$3:$F$3,0)+2,0),0)*M61,0)*Z61*0.5,0), "")</f>
        <v/>
      </c>
      <c r="AD61" s="156"/>
      <c r="AE61" s="157"/>
      <c r="AF61" s="157"/>
      <c r="AG61" s="158"/>
      <c r="AH61" s="159"/>
      <c r="AI61" s="161"/>
      <c r="AJ61" s="161"/>
      <c r="AK61" s="542" t="str">
        <f t="shared" si="1"/>
        <v/>
      </c>
      <c r="AL61" s="543" t="str">
        <f t="shared" si="2"/>
        <v/>
      </c>
      <c r="AM61" s="544"/>
      <c r="AN61" s="548" t="str">
        <f>IFERROR(VLOOKUP(K61,【参考】数式用!$A$2:$N$57,14,FALSE),"")</f>
        <v/>
      </c>
      <c r="AO61" s="548" t="str">
        <f t="shared" si="3"/>
        <v/>
      </c>
      <c r="AP61" s="547" t="str">
        <f t="shared" si="4"/>
        <v/>
      </c>
      <c r="AQ61" s="547" t="str">
        <f t="shared" si="5"/>
        <v>入力済</v>
      </c>
      <c r="AR61" s="548" t="str">
        <f t="shared" si="6"/>
        <v/>
      </c>
      <c r="AS61" s="547" t="str">
        <f t="shared" si="7"/>
        <v>入力済</v>
      </c>
      <c r="AT61" s="547" t="str">
        <f t="shared" si="8"/>
        <v/>
      </c>
      <c r="AU61" s="547" t="str">
        <f t="shared" si="24"/>
        <v/>
      </c>
      <c r="AV61" s="548" t="str">
        <f t="shared" si="10"/>
        <v/>
      </c>
      <c r="AW61" s="548" t="str">
        <f t="shared" si="11"/>
        <v>入力済</v>
      </c>
      <c r="AX61" s="547" t="str">
        <f>IFERROR(VLOOKUP(K61,【参考】数式用!$AR$3:$AS$49,2, FALSE), "")</f>
        <v/>
      </c>
      <c r="AY61" s="548" t="str">
        <f t="shared" si="12"/>
        <v/>
      </c>
      <c r="AZ61" s="548" t="str">
        <f t="shared" si="13"/>
        <v>入力済</v>
      </c>
      <c r="BA61" s="547" t="str">
        <f>IFERROR(VLOOKUP(K61,【参考】数式用!$AX$3:$AY$56, 2, FALSE), "")</f>
        <v/>
      </c>
      <c r="BB61" s="548" t="str">
        <f t="shared" si="25"/>
        <v/>
      </c>
      <c r="BC61" s="648" t="str">
        <f t="shared" si="15"/>
        <v>入力済</v>
      </c>
      <c r="BD61" s="548" t="str">
        <f t="shared" si="17"/>
        <v/>
      </c>
      <c r="BE61" s="548" t="str">
        <f t="shared" si="26"/>
        <v/>
      </c>
      <c r="BF61" s="515"/>
      <c r="BG61" s="515"/>
      <c r="BH61" s="634" t="e">
        <f>VLOOKUP(K61,【参考】数式用!$A$2:$O$57,15,FALSE)</f>
        <v>#N/A</v>
      </c>
      <c r="BI61" s="515"/>
      <c r="BJ61" s="515"/>
      <c r="BK61" s="515"/>
      <c r="BL61" s="515"/>
      <c r="BM61" s="515"/>
      <c r="BN61" s="515"/>
      <c r="BO61" s="516"/>
    </row>
    <row r="62" spans="1:67" s="517" customFormat="1" ht="109.9" customHeight="1" thickBot="1">
      <c r="A62" s="454">
        <v>51</v>
      </c>
      <c r="B62" s="933" t="str">
        <f>IF(基本情報入力シート!B90="","",基本情報入力シート!B90)</f>
        <v/>
      </c>
      <c r="C62" s="934"/>
      <c r="D62" s="934"/>
      <c r="E62" s="934"/>
      <c r="F62" s="935"/>
      <c r="G62" s="455" t="str">
        <f>IF(基本情報入力シート!L90="", "", 基本情報入力シート!L90)</f>
        <v/>
      </c>
      <c r="H62" s="455" t="str">
        <f>IF(基本情報入力シート!Q90="", "", 基本情報入力シート!Q90)</f>
        <v/>
      </c>
      <c r="I62" s="455" t="str">
        <f>IF(基本情報入力シート!V90="", "", 基本情報入力シート!V90)</f>
        <v/>
      </c>
      <c r="J62" s="455" t="str">
        <f>IF(基本情報入力シート!W90="", "", 基本情報入力シート!W90)</f>
        <v/>
      </c>
      <c r="K62" s="455" t="str">
        <f>IF(基本情報入力シート!Z90="", "", 基本情報入力シート!Z90)</f>
        <v/>
      </c>
      <c r="L62" s="101" t="str">
        <f>IF(基本情報入力シート!AF90=0, "",基本情報入力シート!AF90)</f>
        <v/>
      </c>
      <c r="M62" s="142" t="str">
        <f>IF(基本情報入力シート!AG90="","",基本情報入力シート!AG90)</f>
        <v/>
      </c>
      <c r="N62" s="136"/>
      <c r="O62" s="155" t="str">
        <f>IFERROR(VLOOKUP(K62,【参考】数式用!$A$2:$F$57,MATCH(N62,【参考】数式用!$C$3:$F$3,0)+2,0),"")</f>
        <v/>
      </c>
      <c r="P62" s="456" t="s">
        <v>180</v>
      </c>
      <c r="Q62" s="141"/>
      <c r="R62" s="457" t="s">
        <v>271</v>
      </c>
      <c r="S62" s="141"/>
      <c r="T62" s="457" t="s">
        <v>272</v>
      </c>
      <c r="U62" s="141"/>
      <c r="V62" s="457" t="s">
        <v>271</v>
      </c>
      <c r="W62" s="141"/>
      <c r="X62" s="457" t="s">
        <v>182</v>
      </c>
      <c r="Y62" s="457" t="s">
        <v>274</v>
      </c>
      <c r="Z62" s="457" t="str">
        <f t="shared" si="16"/>
        <v/>
      </c>
      <c r="AA62" s="458" t="s">
        <v>275</v>
      </c>
      <c r="AB62" s="459" t="str">
        <f t="shared" si="23"/>
        <v/>
      </c>
      <c r="AC62" s="460" t="str">
        <f>IFERROR(ROUNDDOWN(ROUNDDOWN(ROUND(L62*VLOOKUP(K62,【参考】数式用!$A$4:$F$57,MATCH("処遇改善加算Ⅳ",【参考】数式用!$C$3:$F$3,0)+2,0),0)*M62,0)*Z62*0.5,0), "")</f>
        <v/>
      </c>
      <c r="AD62" s="156"/>
      <c r="AE62" s="157"/>
      <c r="AF62" s="157"/>
      <c r="AG62" s="158"/>
      <c r="AH62" s="159"/>
      <c r="AI62" s="161"/>
      <c r="AJ62" s="161"/>
      <c r="AK62" s="542" t="str">
        <f t="shared" si="1"/>
        <v/>
      </c>
      <c r="AL62" s="543" t="str">
        <f t="shared" si="2"/>
        <v/>
      </c>
      <c r="AM62" s="544"/>
      <c r="AN62" s="548" t="str">
        <f>IFERROR(VLOOKUP(K62,【参考】数式用!$A$2:$N$57,14,FALSE),"")</f>
        <v/>
      </c>
      <c r="AO62" s="548" t="str">
        <f t="shared" si="3"/>
        <v/>
      </c>
      <c r="AP62" s="547" t="str">
        <f t="shared" si="4"/>
        <v/>
      </c>
      <c r="AQ62" s="547" t="str">
        <f t="shared" si="5"/>
        <v>入力済</v>
      </c>
      <c r="AR62" s="548" t="str">
        <f t="shared" si="6"/>
        <v/>
      </c>
      <c r="AS62" s="547" t="str">
        <f t="shared" si="7"/>
        <v>入力済</v>
      </c>
      <c r="AT62" s="547" t="str">
        <f t="shared" si="8"/>
        <v/>
      </c>
      <c r="AU62" s="547" t="str">
        <f t="shared" si="24"/>
        <v/>
      </c>
      <c r="AV62" s="548" t="str">
        <f t="shared" si="10"/>
        <v/>
      </c>
      <c r="AW62" s="548" t="str">
        <f t="shared" si="11"/>
        <v>入力済</v>
      </c>
      <c r="AX62" s="547" t="str">
        <f>IFERROR(VLOOKUP(K62,【参考】数式用!$AR$3:$AS$49,2, FALSE), "")</f>
        <v/>
      </c>
      <c r="AY62" s="548" t="str">
        <f t="shared" si="12"/>
        <v/>
      </c>
      <c r="AZ62" s="548" t="str">
        <f t="shared" si="13"/>
        <v>入力済</v>
      </c>
      <c r="BA62" s="547" t="str">
        <f>IFERROR(VLOOKUP(K62,【参考】数式用!$AX$3:$AY$56, 2, FALSE), "")</f>
        <v/>
      </c>
      <c r="BB62" s="548" t="str">
        <f t="shared" si="25"/>
        <v/>
      </c>
      <c r="BC62" s="648" t="str">
        <f t="shared" si="15"/>
        <v>入力済</v>
      </c>
      <c r="BD62" s="548" t="str">
        <f t="shared" si="17"/>
        <v/>
      </c>
      <c r="BE62" s="548" t="str">
        <f t="shared" si="26"/>
        <v/>
      </c>
      <c r="BF62" s="515"/>
      <c r="BG62" s="515"/>
      <c r="BH62" s="634" t="e">
        <f>VLOOKUP(K62,【参考】数式用!$A$2:$O$57,15,FALSE)</f>
        <v>#N/A</v>
      </c>
      <c r="BI62" s="515"/>
      <c r="BJ62" s="515"/>
      <c r="BK62" s="515"/>
      <c r="BL62" s="515"/>
      <c r="BM62" s="515"/>
      <c r="BN62" s="515"/>
      <c r="BO62" s="516"/>
    </row>
    <row r="63" spans="1:67" s="517" customFormat="1" ht="109.9" customHeight="1" thickBot="1">
      <c r="A63" s="454">
        <v>52</v>
      </c>
      <c r="B63" s="933" t="str">
        <f>IF(基本情報入力シート!B91="","",基本情報入力シート!B91)</f>
        <v/>
      </c>
      <c r="C63" s="934"/>
      <c r="D63" s="934"/>
      <c r="E63" s="934"/>
      <c r="F63" s="935"/>
      <c r="G63" s="455" t="str">
        <f>IF(基本情報入力シート!L91="", "", 基本情報入力シート!L91)</f>
        <v/>
      </c>
      <c r="H63" s="455" t="str">
        <f>IF(基本情報入力シート!Q91="", "", 基本情報入力シート!Q91)</f>
        <v/>
      </c>
      <c r="I63" s="455" t="str">
        <f>IF(基本情報入力シート!V91="", "", 基本情報入力シート!V91)</f>
        <v/>
      </c>
      <c r="J63" s="455" t="str">
        <f>IF(基本情報入力シート!W91="", "", 基本情報入力シート!W91)</f>
        <v/>
      </c>
      <c r="K63" s="455" t="str">
        <f>IF(基本情報入力シート!Z91="", "", 基本情報入力シート!Z91)</f>
        <v/>
      </c>
      <c r="L63" s="101" t="str">
        <f>IF(基本情報入力シート!AF91=0, "",基本情報入力シート!AF91)</f>
        <v/>
      </c>
      <c r="M63" s="142" t="str">
        <f>IF(基本情報入力シート!AG91="","",基本情報入力シート!AG91)</f>
        <v/>
      </c>
      <c r="N63" s="136"/>
      <c r="O63" s="155" t="str">
        <f>IFERROR(VLOOKUP(K63,【参考】数式用!$A$2:$F$57,MATCH(N63,【参考】数式用!$C$3:$F$3,0)+2,0),"")</f>
        <v/>
      </c>
      <c r="P63" s="456" t="s">
        <v>180</v>
      </c>
      <c r="Q63" s="141"/>
      <c r="R63" s="457" t="s">
        <v>271</v>
      </c>
      <c r="S63" s="141"/>
      <c r="T63" s="457" t="s">
        <v>272</v>
      </c>
      <c r="U63" s="141"/>
      <c r="V63" s="457" t="s">
        <v>271</v>
      </c>
      <c r="W63" s="141"/>
      <c r="X63" s="457" t="s">
        <v>273</v>
      </c>
      <c r="Y63" s="457" t="s">
        <v>274</v>
      </c>
      <c r="Z63" s="457" t="str">
        <f t="shared" si="16"/>
        <v/>
      </c>
      <c r="AA63" s="458" t="s">
        <v>275</v>
      </c>
      <c r="AB63" s="459" t="str">
        <f t="shared" si="23"/>
        <v/>
      </c>
      <c r="AC63" s="460" t="str">
        <f>IFERROR(ROUNDDOWN(ROUNDDOWN(ROUND(L63*VLOOKUP(K63,【参考】数式用!$A$4:$F$57,MATCH("処遇改善加算Ⅳ",【参考】数式用!$C$3:$F$3,0)+2,0),0)*M63,0)*Z63*0.5,0), "")</f>
        <v/>
      </c>
      <c r="AD63" s="156"/>
      <c r="AE63" s="157"/>
      <c r="AF63" s="157"/>
      <c r="AG63" s="158"/>
      <c r="AH63" s="159"/>
      <c r="AI63" s="161"/>
      <c r="AJ63" s="161"/>
      <c r="AK63" s="542" t="str">
        <f t="shared" si="1"/>
        <v/>
      </c>
      <c r="AL63" s="543" t="str">
        <f t="shared" si="2"/>
        <v/>
      </c>
      <c r="AM63" s="544"/>
      <c r="AN63" s="548" t="str">
        <f>IFERROR(VLOOKUP(K63,【参考】数式用!$A$2:$N$57,14,FALSE),"")</f>
        <v/>
      </c>
      <c r="AO63" s="548" t="str">
        <f t="shared" si="3"/>
        <v/>
      </c>
      <c r="AP63" s="547" t="str">
        <f t="shared" si="4"/>
        <v/>
      </c>
      <c r="AQ63" s="547" t="str">
        <f t="shared" si="5"/>
        <v>入力済</v>
      </c>
      <c r="AR63" s="548" t="str">
        <f t="shared" si="6"/>
        <v/>
      </c>
      <c r="AS63" s="547" t="str">
        <f t="shared" si="7"/>
        <v>入力済</v>
      </c>
      <c r="AT63" s="547" t="str">
        <f t="shared" si="8"/>
        <v/>
      </c>
      <c r="AU63" s="547" t="str">
        <f t="shared" si="24"/>
        <v/>
      </c>
      <c r="AV63" s="548" t="str">
        <f t="shared" si="10"/>
        <v/>
      </c>
      <c r="AW63" s="548" t="str">
        <f t="shared" si="11"/>
        <v>入力済</v>
      </c>
      <c r="AX63" s="547" t="str">
        <f>IFERROR(VLOOKUP(K63,【参考】数式用!$AR$3:$AS$49,2, FALSE), "")</f>
        <v/>
      </c>
      <c r="AY63" s="548" t="str">
        <f t="shared" si="12"/>
        <v/>
      </c>
      <c r="AZ63" s="548" t="str">
        <f t="shared" si="13"/>
        <v>入力済</v>
      </c>
      <c r="BA63" s="547" t="str">
        <f>IFERROR(VLOOKUP(K63,【参考】数式用!$AX$3:$AY$56, 2, FALSE), "")</f>
        <v/>
      </c>
      <c r="BB63" s="548" t="str">
        <f t="shared" si="25"/>
        <v/>
      </c>
      <c r="BC63" s="648" t="str">
        <f t="shared" si="15"/>
        <v>入力済</v>
      </c>
      <c r="BD63" s="548" t="str">
        <f t="shared" si="17"/>
        <v/>
      </c>
      <c r="BE63" s="548" t="str">
        <f t="shared" si="26"/>
        <v/>
      </c>
      <c r="BF63" s="515"/>
      <c r="BG63" s="515"/>
      <c r="BH63" s="634" t="e">
        <f>VLOOKUP(K63,【参考】数式用!$A$2:$O$57,15,FALSE)</f>
        <v>#N/A</v>
      </c>
      <c r="BI63" s="515"/>
      <c r="BJ63" s="515"/>
      <c r="BK63" s="515"/>
      <c r="BL63" s="515"/>
      <c r="BM63" s="515"/>
      <c r="BN63" s="515"/>
      <c r="BO63" s="516"/>
    </row>
    <row r="64" spans="1:67" s="517" customFormat="1" ht="109.9" customHeight="1" thickBot="1">
      <c r="A64" s="454">
        <v>53</v>
      </c>
      <c r="B64" s="933" t="str">
        <f>IF(基本情報入力シート!B92="","",基本情報入力シート!B92)</f>
        <v/>
      </c>
      <c r="C64" s="934"/>
      <c r="D64" s="934"/>
      <c r="E64" s="934"/>
      <c r="F64" s="935"/>
      <c r="G64" s="455" t="str">
        <f>IF(基本情報入力シート!L92="", "", 基本情報入力シート!L92)</f>
        <v/>
      </c>
      <c r="H64" s="455" t="str">
        <f>IF(基本情報入力シート!Q92="", "", 基本情報入力シート!Q92)</f>
        <v/>
      </c>
      <c r="I64" s="455" t="str">
        <f>IF(基本情報入力シート!V92="", "", 基本情報入力シート!V92)</f>
        <v/>
      </c>
      <c r="J64" s="455" t="str">
        <f>IF(基本情報入力シート!W92="", "", 基本情報入力シート!W92)</f>
        <v/>
      </c>
      <c r="K64" s="455" t="str">
        <f>IF(基本情報入力シート!Z92="", "", 基本情報入力シート!Z92)</f>
        <v/>
      </c>
      <c r="L64" s="101" t="str">
        <f>IF(基本情報入力シート!AF92=0, "",基本情報入力シート!AF92)</f>
        <v/>
      </c>
      <c r="M64" s="142" t="str">
        <f>IF(基本情報入力シート!AG92="","",基本情報入力シート!AG92)</f>
        <v/>
      </c>
      <c r="N64" s="136"/>
      <c r="O64" s="155" t="str">
        <f>IFERROR(VLOOKUP(K64,【参考】数式用!$A$2:$F$57,MATCH(N64,【参考】数式用!$C$3:$F$3,0)+2,0),"")</f>
        <v/>
      </c>
      <c r="P64" s="456" t="s">
        <v>180</v>
      </c>
      <c r="Q64" s="141"/>
      <c r="R64" s="457" t="s">
        <v>271</v>
      </c>
      <c r="S64" s="141"/>
      <c r="T64" s="457" t="s">
        <v>272</v>
      </c>
      <c r="U64" s="141"/>
      <c r="V64" s="457" t="s">
        <v>271</v>
      </c>
      <c r="W64" s="141"/>
      <c r="X64" s="457" t="s">
        <v>273</v>
      </c>
      <c r="Y64" s="457" t="s">
        <v>274</v>
      </c>
      <c r="Z64" s="457" t="str">
        <f t="shared" si="16"/>
        <v/>
      </c>
      <c r="AA64" s="458" t="s">
        <v>275</v>
      </c>
      <c r="AB64" s="459" t="str">
        <f t="shared" si="23"/>
        <v/>
      </c>
      <c r="AC64" s="460" t="str">
        <f>IFERROR(ROUNDDOWN(ROUNDDOWN(ROUND(L64*VLOOKUP(K64,【参考】数式用!$A$4:$F$57,MATCH("処遇改善加算Ⅳ",【参考】数式用!$C$3:$F$3,0)+2,0),0)*M64,0)*Z64*0.5,0), "")</f>
        <v/>
      </c>
      <c r="AD64" s="156"/>
      <c r="AE64" s="157"/>
      <c r="AF64" s="157"/>
      <c r="AG64" s="158"/>
      <c r="AH64" s="159"/>
      <c r="AI64" s="161"/>
      <c r="AJ64" s="161"/>
      <c r="AK64" s="542" t="str">
        <f t="shared" si="1"/>
        <v/>
      </c>
      <c r="AL64" s="543" t="str">
        <f t="shared" si="2"/>
        <v/>
      </c>
      <c r="AM64" s="544"/>
      <c r="AN64" s="548" t="str">
        <f>IFERROR(VLOOKUP(K64,【参考】数式用!$A$2:$N$57,14,FALSE),"")</f>
        <v/>
      </c>
      <c r="AO64" s="548" t="str">
        <f t="shared" si="3"/>
        <v/>
      </c>
      <c r="AP64" s="547" t="str">
        <f t="shared" si="4"/>
        <v/>
      </c>
      <c r="AQ64" s="547" t="str">
        <f t="shared" si="5"/>
        <v>入力済</v>
      </c>
      <c r="AR64" s="548" t="str">
        <f t="shared" si="6"/>
        <v/>
      </c>
      <c r="AS64" s="547" t="str">
        <f t="shared" si="7"/>
        <v>入力済</v>
      </c>
      <c r="AT64" s="547" t="str">
        <f t="shared" si="8"/>
        <v/>
      </c>
      <c r="AU64" s="547" t="str">
        <f t="shared" si="24"/>
        <v/>
      </c>
      <c r="AV64" s="548" t="str">
        <f t="shared" si="10"/>
        <v/>
      </c>
      <c r="AW64" s="548" t="str">
        <f t="shared" si="11"/>
        <v>入力済</v>
      </c>
      <c r="AX64" s="547" t="str">
        <f>IFERROR(VLOOKUP(K64,【参考】数式用!$AR$3:$AS$49,2, FALSE), "")</f>
        <v/>
      </c>
      <c r="AY64" s="548" t="str">
        <f t="shared" si="12"/>
        <v/>
      </c>
      <c r="AZ64" s="548" t="str">
        <f t="shared" si="13"/>
        <v>入力済</v>
      </c>
      <c r="BA64" s="547" t="str">
        <f>IFERROR(VLOOKUP(K64,【参考】数式用!$AX$3:$AY$56, 2, FALSE), "")</f>
        <v/>
      </c>
      <c r="BB64" s="548" t="str">
        <f t="shared" si="25"/>
        <v/>
      </c>
      <c r="BC64" s="648" t="str">
        <f t="shared" si="15"/>
        <v>入力済</v>
      </c>
      <c r="BD64" s="548" t="str">
        <f t="shared" si="17"/>
        <v/>
      </c>
      <c r="BE64" s="548" t="str">
        <f t="shared" si="26"/>
        <v/>
      </c>
      <c r="BF64" s="515"/>
      <c r="BG64" s="515"/>
      <c r="BH64" s="634" t="e">
        <f>VLOOKUP(K64,【参考】数式用!$A$2:$O$57,15,FALSE)</f>
        <v>#N/A</v>
      </c>
      <c r="BI64" s="515"/>
      <c r="BJ64" s="515"/>
      <c r="BK64" s="515"/>
      <c r="BL64" s="515"/>
      <c r="BM64" s="515"/>
      <c r="BN64" s="515"/>
      <c r="BO64" s="516"/>
    </row>
    <row r="65" spans="1:67" s="517" customFormat="1" ht="109.9" customHeight="1" thickBot="1">
      <c r="A65" s="454">
        <v>54</v>
      </c>
      <c r="B65" s="933" t="str">
        <f>IF(基本情報入力シート!B93="","",基本情報入力シート!B93)</f>
        <v/>
      </c>
      <c r="C65" s="934"/>
      <c r="D65" s="934"/>
      <c r="E65" s="934"/>
      <c r="F65" s="935"/>
      <c r="G65" s="455" t="str">
        <f>IF(基本情報入力シート!L93="", "", 基本情報入力シート!L93)</f>
        <v/>
      </c>
      <c r="H65" s="455" t="str">
        <f>IF(基本情報入力シート!Q93="", "", 基本情報入力シート!Q93)</f>
        <v/>
      </c>
      <c r="I65" s="455" t="str">
        <f>IF(基本情報入力シート!V93="", "", 基本情報入力シート!V93)</f>
        <v/>
      </c>
      <c r="J65" s="455" t="str">
        <f>IF(基本情報入力シート!W93="", "", 基本情報入力シート!W93)</f>
        <v/>
      </c>
      <c r="K65" s="455" t="str">
        <f>IF(基本情報入力シート!Z93="", "", 基本情報入力シート!Z93)</f>
        <v/>
      </c>
      <c r="L65" s="101" t="str">
        <f>IF(基本情報入力シート!AF93=0, "",基本情報入力シート!AF93)</f>
        <v/>
      </c>
      <c r="M65" s="142" t="str">
        <f>IF(基本情報入力シート!AG93="","",基本情報入力シート!AG93)</f>
        <v/>
      </c>
      <c r="N65" s="136"/>
      <c r="O65" s="155" t="str">
        <f>IFERROR(VLOOKUP(K65,【参考】数式用!$A$2:$F$57,MATCH(N65,【参考】数式用!$C$3:$F$3,0)+2,0),"")</f>
        <v/>
      </c>
      <c r="P65" s="456" t="s">
        <v>180</v>
      </c>
      <c r="Q65" s="141"/>
      <c r="R65" s="457" t="s">
        <v>271</v>
      </c>
      <c r="S65" s="141"/>
      <c r="T65" s="457" t="s">
        <v>272</v>
      </c>
      <c r="U65" s="141"/>
      <c r="V65" s="457" t="s">
        <v>271</v>
      </c>
      <c r="W65" s="141"/>
      <c r="X65" s="457" t="s">
        <v>273</v>
      </c>
      <c r="Y65" s="457" t="s">
        <v>274</v>
      </c>
      <c r="Z65" s="457" t="str">
        <f t="shared" si="16"/>
        <v/>
      </c>
      <c r="AA65" s="458" t="s">
        <v>275</v>
      </c>
      <c r="AB65" s="459" t="str">
        <f t="shared" si="23"/>
        <v/>
      </c>
      <c r="AC65" s="460" t="str">
        <f>IFERROR(ROUNDDOWN(ROUNDDOWN(ROUND(L65*VLOOKUP(K65,【参考】数式用!$A$4:$F$57,MATCH("処遇改善加算Ⅳ",【参考】数式用!$C$3:$F$3,0)+2,0),0)*M65,0)*Z65*0.5,0), "")</f>
        <v/>
      </c>
      <c r="AD65" s="156"/>
      <c r="AE65" s="157"/>
      <c r="AF65" s="157"/>
      <c r="AG65" s="158"/>
      <c r="AH65" s="159"/>
      <c r="AI65" s="161"/>
      <c r="AJ65" s="161"/>
      <c r="AK65" s="542" t="str">
        <f t="shared" si="1"/>
        <v/>
      </c>
      <c r="AL65" s="543" t="str">
        <f t="shared" si="2"/>
        <v/>
      </c>
      <c r="AM65" s="544"/>
      <c r="AN65" s="548" t="str">
        <f>IFERROR(VLOOKUP(K65,【参考】数式用!$A$2:$N$57,14,FALSE),"")</f>
        <v/>
      </c>
      <c r="AO65" s="548" t="str">
        <f t="shared" si="3"/>
        <v/>
      </c>
      <c r="AP65" s="547" t="str">
        <f t="shared" si="4"/>
        <v/>
      </c>
      <c r="AQ65" s="547" t="str">
        <f t="shared" si="5"/>
        <v>入力済</v>
      </c>
      <c r="AR65" s="548" t="str">
        <f t="shared" si="6"/>
        <v/>
      </c>
      <c r="AS65" s="547" t="str">
        <f t="shared" si="7"/>
        <v>入力済</v>
      </c>
      <c r="AT65" s="547" t="str">
        <f t="shared" si="8"/>
        <v/>
      </c>
      <c r="AU65" s="547" t="str">
        <f t="shared" si="24"/>
        <v/>
      </c>
      <c r="AV65" s="548" t="str">
        <f t="shared" si="10"/>
        <v/>
      </c>
      <c r="AW65" s="548" t="str">
        <f t="shared" si="11"/>
        <v>入力済</v>
      </c>
      <c r="AX65" s="547" t="str">
        <f>IFERROR(VLOOKUP(K65,【参考】数式用!$AR$3:$AS$49,2, FALSE), "")</f>
        <v/>
      </c>
      <c r="AY65" s="548" t="str">
        <f t="shared" si="12"/>
        <v/>
      </c>
      <c r="AZ65" s="548" t="str">
        <f t="shared" si="13"/>
        <v>入力済</v>
      </c>
      <c r="BA65" s="547" t="str">
        <f>IFERROR(VLOOKUP(K65,【参考】数式用!$AX$3:$AY$56, 2, FALSE), "")</f>
        <v/>
      </c>
      <c r="BB65" s="548" t="str">
        <f t="shared" si="25"/>
        <v/>
      </c>
      <c r="BC65" s="648" t="str">
        <f t="shared" si="15"/>
        <v>入力済</v>
      </c>
      <c r="BD65" s="548" t="str">
        <f t="shared" si="17"/>
        <v/>
      </c>
      <c r="BE65" s="548" t="str">
        <f t="shared" si="26"/>
        <v/>
      </c>
      <c r="BF65" s="515"/>
      <c r="BG65" s="515"/>
      <c r="BH65" s="634" t="e">
        <f>VLOOKUP(K65,【参考】数式用!$A$2:$O$57,15,FALSE)</f>
        <v>#N/A</v>
      </c>
      <c r="BI65" s="515"/>
      <c r="BJ65" s="515"/>
      <c r="BK65" s="515"/>
      <c r="BL65" s="515"/>
      <c r="BM65" s="515"/>
      <c r="BN65" s="515"/>
      <c r="BO65" s="516"/>
    </row>
    <row r="66" spans="1:67" s="517" customFormat="1" ht="109.9" customHeight="1" thickBot="1">
      <c r="A66" s="454">
        <v>55</v>
      </c>
      <c r="B66" s="933" t="str">
        <f>IF(基本情報入力シート!B94="","",基本情報入力シート!B94)</f>
        <v/>
      </c>
      <c r="C66" s="934"/>
      <c r="D66" s="934"/>
      <c r="E66" s="934"/>
      <c r="F66" s="935"/>
      <c r="G66" s="455" t="str">
        <f>IF(基本情報入力シート!L94="", "", 基本情報入力シート!L94)</f>
        <v/>
      </c>
      <c r="H66" s="455" t="str">
        <f>IF(基本情報入力シート!Q94="", "", 基本情報入力シート!Q94)</f>
        <v/>
      </c>
      <c r="I66" s="455" t="str">
        <f>IF(基本情報入力シート!V94="", "", 基本情報入力シート!V94)</f>
        <v/>
      </c>
      <c r="J66" s="455" t="str">
        <f>IF(基本情報入力シート!W94="", "", 基本情報入力シート!W94)</f>
        <v/>
      </c>
      <c r="K66" s="455" t="str">
        <f>IF(基本情報入力シート!Z94="", "", 基本情報入力シート!Z94)</f>
        <v/>
      </c>
      <c r="L66" s="101" t="str">
        <f>IF(基本情報入力シート!AF94=0, "",基本情報入力シート!AF94)</f>
        <v/>
      </c>
      <c r="M66" s="142" t="str">
        <f>IF(基本情報入力シート!AG94="","",基本情報入力シート!AG94)</f>
        <v/>
      </c>
      <c r="N66" s="136"/>
      <c r="O66" s="155" t="str">
        <f>IFERROR(VLOOKUP(K66,【参考】数式用!$A$2:$F$57,MATCH(N66,【参考】数式用!$C$3:$F$3,0)+2,0),"")</f>
        <v/>
      </c>
      <c r="P66" s="456" t="s">
        <v>180</v>
      </c>
      <c r="Q66" s="141"/>
      <c r="R66" s="457" t="s">
        <v>271</v>
      </c>
      <c r="S66" s="141"/>
      <c r="T66" s="457" t="s">
        <v>272</v>
      </c>
      <c r="U66" s="141"/>
      <c r="V66" s="457" t="s">
        <v>271</v>
      </c>
      <c r="W66" s="141"/>
      <c r="X66" s="457" t="s">
        <v>182</v>
      </c>
      <c r="Y66" s="457" t="s">
        <v>274</v>
      </c>
      <c r="Z66" s="457" t="str">
        <f t="shared" si="16"/>
        <v/>
      </c>
      <c r="AA66" s="458" t="s">
        <v>275</v>
      </c>
      <c r="AB66" s="459" t="str">
        <f t="shared" si="23"/>
        <v/>
      </c>
      <c r="AC66" s="460" t="str">
        <f>IFERROR(ROUNDDOWN(ROUNDDOWN(ROUND(L66*VLOOKUP(K66,【参考】数式用!$A$4:$F$57,MATCH("処遇改善加算Ⅳ",【参考】数式用!$C$3:$F$3,0)+2,0),0)*M66,0)*Z66*0.5,0), "")</f>
        <v/>
      </c>
      <c r="AD66" s="156"/>
      <c r="AE66" s="157"/>
      <c r="AF66" s="157"/>
      <c r="AG66" s="158"/>
      <c r="AH66" s="159"/>
      <c r="AI66" s="161"/>
      <c r="AJ66" s="161"/>
      <c r="AK66" s="542" t="str">
        <f t="shared" si="1"/>
        <v/>
      </c>
      <c r="AL66" s="543" t="str">
        <f t="shared" si="2"/>
        <v/>
      </c>
      <c r="AM66" s="544"/>
      <c r="AN66" s="548" t="str">
        <f>IFERROR(VLOOKUP(K66,【参考】数式用!$A$2:$N$57,14,FALSE),"")</f>
        <v/>
      </c>
      <c r="AO66" s="548" t="str">
        <f t="shared" si="3"/>
        <v/>
      </c>
      <c r="AP66" s="547" t="str">
        <f t="shared" si="4"/>
        <v/>
      </c>
      <c r="AQ66" s="547" t="str">
        <f t="shared" si="5"/>
        <v>入力済</v>
      </c>
      <c r="AR66" s="548" t="str">
        <f t="shared" si="6"/>
        <v/>
      </c>
      <c r="AS66" s="547" t="str">
        <f t="shared" si="7"/>
        <v>入力済</v>
      </c>
      <c r="AT66" s="547" t="str">
        <f t="shared" si="8"/>
        <v/>
      </c>
      <c r="AU66" s="547" t="str">
        <f t="shared" si="24"/>
        <v/>
      </c>
      <c r="AV66" s="548" t="str">
        <f t="shared" si="10"/>
        <v/>
      </c>
      <c r="AW66" s="548" t="str">
        <f t="shared" si="11"/>
        <v>入力済</v>
      </c>
      <c r="AX66" s="547" t="str">
        <f>IFERROR(VLOOKUP(K66,【参考】数式用!$AR$3:$AS$49,2, FALSE), "")</f>
        <v/>
      </c>
      <c r="AY66" s="548" t="str">
        <f t="shared" si="12"/>
        <v/>
      </c>
      <c r="AZ66" s="548" t="str">
        <f t="shared" si="13"/>
        <v>入力済</v>
      </c>
      <c r="BA66" s="547" t="str">
        <f>IFERROR(VLOOKUP(K66,【参考】数式用!$AX$3:$AY$56, 2, FALSE), "")</f>
        <v/>
      </c>
      <c r="BB66" s="548" t="str">
        <f t="shared" si="25"/>
        <v/>
      </c>
      <c r="BC66" s="648" t="str">
        <f t="shared" si="15"/>
        <v>入力済</v>
      </c>
      <c r="BD66" s="548" t="str">
        <f t="shared" si="17"/>
        <v/>
      </c>
      <c r="BE66" s="548" t="str">
        <f t="shared" si="26"/>
        <v/>
      </c>
      <c r="BF66" s="515"/>
      <c r="BG66" s="515"/>
      <c r="BH66" s="634" t="e">
        <f>VLOOKUP(K66,【参考】数式用!$A$2:$O$57,15,FALSE)</f>
        <v>#N/A</v>
      </c>
      <c r="BI66" s="515"/>
      <c r="BJ66" s="515"/>
      <c r="BK66" s="515"/>
      <c r="BL66" s="515"/>
      <c r="BM66" s="515"/>
      <c r="BN66" s="515"/>
      <c r="BO66" s="516"/>
    </row>
    <row r="67" spans="1:67" s="517" customFormat="1" ht="109.9" customHeight="1" thickBot="1">
      <c r="A67" s="454">
        <v>56</v>
      </c>
      <c r="B67" s="933" t="str">
        <f>IF(基本情報入力シート!B95="","",基本情報入力シート!B95)</f>
        <v/>
      </c>
      <c r="C67" s="934"/>
      <c r="D67" s="934"/>
      <c r="E67" s="934"/>
      <c r="F67" s="935"/>
      <c r="G67" s="455" t="str">
        <f>IF(基本情報入力シート!L95="", "", 基本情報入力シート!L95)</f>
        <v/>
      </c>
      <c r="H67" s="455" t="str">
        <f>IF(基本情報入力シート!Q95="", "", 基本情報入力シート!Q95)</f>
        <v/>
      </c>
      <c r="I67" s="455" t="str">
        <f>IF(基本情報入力シート!V95="", "", 基本情報入力シート!V95)</f>
        <v/>
      </c>
      <c r="J67" s="455" t="str">
        <f>IF(基本情報入力シート!W95="", "", 基本情報入力シート!W95)</f>
        <v/>
      </c>
      <c r="K67" s="455" t="str">
        <f>IF(基本情報入力シート!Z95="", "", 基本情報入力シート!Z95)</f>
        <v/>
      </c>
      <c r="L67" s="101" t="str">
        <f>IF(基本情報入力シート!AF95=0, "",基本情報入力シート!AF95)</f>
        <v/>
      </c>
      <c r="M67" s="142" t="str">
        <f>IF(基本情報入力シート!AG95="","",基本情報入力シート!AG95)</f>
        <v/>
      </c>
      <c r="N67" s="136"/>
      <c r="O67" s="155" t="str">
        <f>IFERROR(VLOOKUP(K67,【参考】数式用!$A$2:$F$57,MATCH(N67,【参考】数式用!$C$3:$F$3,0)+2,0),"")</f>
        <v/>
      </c>
      <c r="P67" s="456" t="s">
        <v>180</v>
      </c>
      <c r="Q67" s="141"/>
      <c r="R67" s="457" t="s">
        <v>271</v>
      </c>
      <c r="S67" s="141"/>
      <c r="T67" s="457" t="s">
        <v>272</v>
      </c>
      <c r="U67" s="141"/>
      <c r="V67" s="457" t="s">
        <v>271</v>
      </c>
      <c r="W67" s="141"/>
      <c r="X67" s="457" t="s">
        <v>273</v>
      </c>
      <c r="Y67" s="457" t="s">
        <v>274</v>
      </c>
      <c r="Z67" s="457" t="str">
        <f t="shared" si="16"/>
        <v/>
      </c>
      <c r="AA67" s="458" t="s">
        <v>275</v>
      </c>
      <c r="AB67" s="459" t="str">
        <f t="shared" si="23"/>
        <v/>
      </c>
      <c r="AC67" s="460" t="str">
        <f>IFERROR(ROUNDDOWN(ROUNDDOWN(ROUND(L67*VLOOKUP(K67,【参考】数式用!$A$4:$F$57,MATCH("処遇改善加算Ⅳ",【参考】数式用!$C$3:$F$3,0)+2,0),0)*M67,0)*Z67*0.5,0), "")</f>
        <v/>
      </c>
      <c r="AD67" s="156"/>
      <c r="AE67" s="157"/>
      <c r="AF67" s="157"/>
      <c r="AG67" s="158"/>
      <c r="AH67" s="159"/>
      <c r="AI67" s="161"/>
      <c r="AJ67" s="161"/>
      <c r="AK67" s="542" t="str">
        <f t="shared" si="1"/>
        <v/>
      </c>
      <c r="AL67" s="543" t="str">
        <f t="shared" si="2"/>
        <v/>
      </c>
      <c r="AM67" s="544"/>
      <c r="AN67" s="548" t="str">
        <f>IFERROR(VLOOKUP(K67,【参考】数式用!$A$2:$N$57,14,FALSE),"")</f>
        <v/>
      </c>
      <c r="AO67" s="548" t="str">
        <f t="shared" si="3"/>
        <v/>
      </c>
      <c r="AP67" s="547" t="str">
        <f t="shared" si="4"/>
        <v/>
      </c>
      <c r="AQ67" s="547" t="str">
        <f t="shared" si="5"/>
        <v>入力済</v>
      </c>
      <c r="AR67" s="548" t="str">
        <f t="shared" si="6"/>
        <v/>
      </c>
      <c r="AS67" s="547" t="str">
        <f t="shared" si="7"/>
        <v>入力済</v>
      </c>
      <c r="AT67" s="547" t="str">
        <f t="shared" si="8"/>
        <v/>
      </c>
      <c r="AU67" s="547" t="str">
        <f t="shared" si="24"/>
        <v/>
      </c>
      <c r="AV67" s="548" t="str">
        <f t="shared" si="10"/>
        <v/>
      </c>
      <c r="AW67" s="548" t="str">
        <f t="shared" si="11"/>
        <v>入力済</v>
      </c>
      <c r="AX67" s="547" t="str">
        <f>IFERROR(VLOOKUP(K67,【参考】数式用!$AR$3:$AS$49,2, FALSE), "")</f>
        <v/>
      </c>
      <c r="AY67" s="548" t="str">
        <f t="shared" si="12"/>
        <v/>
      </c>
      <c r="AZ67" s="548" t="str">
        <f t="shared" si="13"/>
        <v>入力済</v>
      </c>
      <c r="BA67" s="547" t="str">
        <f>IFERROR(VLOOKUP(K67,【参考】数式用!$AX$3:$AY$56, 2, FALSE), "")</f>
        <v/>
      </c>
      <c r="BB67" s="548" t="str">
        <f t="shared" si="25"/>
        <v/>
      </c>
      <c r="BC67" s="648" t="str">
        <f t="shared" si="15"/>
        <v>入力済</v>
      </c>
      <c r="BD67" s="548" t="str">
        <f t="shared" si="17"/>
        <v/>
      </c>
      <c r="BE67" s="548" t="str">
        <f t="shared" si="26"/>
        <v/>
      </c>
      <c r="BF67" s="515"/>
      <c r="BG67" s="515"/>
      <c r="BH67" s="634" t="e">
        <f>VLOOKUP(K67,【参考】数式用!$A$2:$O$57,15,FALSE)</f>
        <v>#N/A</v>
      </c>
      <c r="BI67" s="515"/>
      <c r="BJ67" s="515"/>
      <c r="BK67" s="515"/>
      <c r="BL67" s="515"/>
      <c r="BM67" s="515"/>
      <c r="BN67" s="515"/>
      <c r="BO67" s="516"/>
    </row>
    <row r="68" spans="1:67" s="517" customFormat="1" ht="109.9" customHeight="1" thickBot="1">
      <c r="A68" s="454">
        <v>57</v>
      </c>
      <c r="B68" s="933" t="str">
        <f>IF(基本情報入力シート!B96="","",基本情報入力シート!B96)</f>
        <v/>
      </c>
      <c r="C68" s="934"/>
      <c r="D68" s="934"/>
      <c r="E68" s="934"/>
      <c r="F68" s="935"/>
      <c r="G68" s="455" t="str">
        <f>IF(基本情報入力シート!L96="", "", 基本情報入力シート!L96)</f>
        <v/>
      </c>
      <c r="H68" s="455" t="str">
        <f>IF(基本情報入力シート!Q96="", "", 基本情報入力シート!Q96)</f>
        <v/>
      </c>
      <c r="I68" s="455" t="str">
        <f>IF(基本情報入力シート!V96="", "", 基本情報入力シート!V96)</f>
        <v/>
      </c>
      <c r="J68" s="455" t="str">
        <f>IF(基本情報入力シート!W96="", "", 基本情報入力シート!W96)</f>
        <v/>
      </c>
      <c r="K68" s="455" t="str">
        <f>IF(基本情報入力シート!Z96="", "", 基本情報入力シート!Z96)</f>
        <v/>
      </c>
      <c r="L68" s="101" t="str">
        <f>IF(基本情報入力シート!AF96=0, "",基本情報入力シート!AF96)</f>
        <v/>
      </c>
      <c r="M68" s="142" t="str">
        <f>IF(基本情報入力シート!AG96="","",基本情報入力シート!AG96)</f>
        <v/>
      </c>
      <c r="N68" s="136"/>
      <c r="O68" s="155" t="str">
        <f>IFERROR(VLOOKUP(K68,【参考】数式用!$A$2:$F$57,MATCH(N68,【参考】数式用!$C$3:$F$3,0)+2,0),"")</f>
        <v/>
      </c>
      <c r="P68" s="456" t="s">
        <v>180</v>
      </c>
      <c r="Q68" s="141"/>
      <c r="R68" s="457" t="s">
        <v>271</v>
      </c>
      <c r="S68" s="141"/>
      <c r="T68" s="457" t="s">
        <v>272</v>
      </c>
      <c r="U68" s="141"/>
      <c r="V68" s="457" t="s">
        <v>271</v>
      </c>
      <c r="W68" s="141"/>
      <c r="X68" s="457" t="s">
        <v>273</v>
      </c>
      <c r="Y68" s="457" t="s">
        <v>274</v>
      </c>
      <c r="Z68" s="457" t="str">
        <f t="shared" si="16"/>
        <v/>
      </c>
      <c r="AA68" s="458" t="s">
        <v>275</v>
      </c>
      <c r="AB68" s="459" t="str">
        <f t="shared" si="23"/>
        <v/>
      </c>
      <c r="AC68" s="460" t="str">
        <f>IFERROR(ROUNDDOWN(ROUNDDOWN(ROUND(L68*VLOOKUP(K68,【参考】数式用!$A$4:$F$57,MATCH("処遇改善加算Ⅳ",【参考】数式用!$C$3:$F$3,0)+2,0),0)*M68,0)*Z68*0.5,0), "")</f>
        <v/>
      </c>
      <c r="AD68" s="156"/>
      <c r="AE68" s="157"/>
      <c r="AF68" s="157"/>
      <c r="AG68" s="158"/>
      <c r="AH68" s="159"/>
      <c r="AI68" s="161"/>
      <c r="AJ68" s="161"/>
      <c r="AK68" s="542" t="str">
        <f t="shared" si="1"/>
        <v/>
      </c>
      <c r="AL68" s="543" t="str">
        <f t="shared" si="2"/>
        <v/>
      </c>
      <c r="AM68" s="544"/>
      <c r="AN68" s="548" t="str">
        <f>IFERROR(VLOOKUP(K68,【参考】数式用!$A$2:$N$57,14,FALSE),"")</f>
        <v/>
      </c>
      <c r="AO68" s="548" t="str">
        <f t="shared" si="3"/>
        <v/>
      </c>
      <c r="AP68" s="547" t="str">
        <f t="shared" si="4"/>
        <v/>
      </c>
      <c r="AQ68" s="547" t="str">
        <f t="shared" si="5"/>
        <v>入力済</v>
      </c>
      <c r="AR68" s="548" t="str">
        <f t="shared" si="6"/>
        <v/>
      </c>
      <c r="AS68" s="547" t="str">
        <f t="shared" si="7"/>
        <v>入力済</v>
      </c>
      <c r="AT68" s="547" t="str">
        <f t="shared" si="8"/>
        <v/>
      </c>
      <c r="AU68" s="547" t="str">
        <f t="shared" si="24"/>
        <v/>
      </c>
      <c r="AV68" s="548" t="str">
        <f t="shared" si="10"/>
        <v/>
      </c>
      <c r="AW68" s="548" t="str">
        <f t="shared" si="11"/>
        <v>入力済</v>
      </c>
      <c r="AX68" s="547" t="str">
        <f>IFERROR(VLOOKUP(K68,【参考】数式用!$AR$3:$AS$49,2, FALSE), "")</f>
        <v/>
      </c>
      <c r="AY68" s="548" t="str">
        <f t="shared" si="12"/>
        <v/>
      </c>
      <c r="AZ68" s="548" t="str">
        <f t="shared" si="13"/>
        <v>入力済</v>
      </c>
      <c r="BA68" s="547" t="str">
        <f>IFERROR(VLOOKUP(K68,【参考】数式用!$AX$3:$AY$56, 2, FALSE), "")</f>
        <v/>
      </c>
      <c r="BB68" s="548" t="str">
        <f t="shared" si="25"/>
        <v/>
      </c>
      <c r="BC68" s="648" t="str">
        <f t="shared" si="15"/>
        <v>入力済</v>
      </c>
      <c r="BD68" s="548" t="str">
        <f t="shared" si="17"/>
        <v/>
      </c>
      <c r="BE68" s="548" t="str">
        <f t="shared" si="26"/>
        <v/>
      </c>
      <c r="BF68" s="515"/>
      <c r="BG68" s="515"/>
      <c r="BH68" s="634" t="e">
        <f>VLOOKUP(K68,【参考】数式用!$A$2:$O$57,15,FALSE)</f>
        <v>#N/A</v>
      </c>
      <c r="BI68" s="515"/>
      <c r="BJ68" s="515"/>
      <c r="BK68" s="515"/>
      <c r="BL68" s="515"/>
      <c r="BM68" s="515"/>
      <c r="BN68" s="515"/>
      <c r="BO68" s="516"/>
    </row>
    <row r="69" spans="1:67" s="517" customFormat="1" ht="109.9" customHeight="1" thickBot="1">
      <c r="A69" s="454">
        <v>58</v>
      </c>
      <c r="B69" s="933" t="str">
        <f>IF(基本情報入力シート!B97="","",基本情報入力シート!B97)</f>
        <v/>
      </c>
      <c r="C69" s="934"/>
      <c r="D69" s="934"/>
      <c r="E69" s="934"/>
      <c r="F69" s="935"/>
      <c r="G69" s="455" t="str">
        <f>IF(基本情報入力シート!L97="", "", 基本情報入力シート!L97)</f>
        <v/>
      </c>
      <c r="H69" s="455" t="str">
        <f>IF(基本情報入力シート!Q97="", "", 基本情報入力シート!Q97)</f>
        <v/>
      </c>
      <c r="I69" s="455" t="str">
        <f>IF(基本情報入力シート!V97="", "", 基本情報入力シート!V97)</f>
        <v/>
      </c>
      <c r="J69" s="455" t="str">
        <f>IF(基本情報入力シート!W97="", "", 基本情報入力シート!W97)</f>
        <v/>
      </c>
      <c r="K69" s="455" t="str">
        <f>IF(基本情報入力シート!Z97="", "", 基本情報入力シート!Z97)</f>
        <v/>
      </c>
      <c r="L69" s="101" t="str">
        <f>IF(基本情報入力シート!AF97=0, "",基本情報入力シート!AF97)</f>
        <v/>
      </c>
      <c r="M69" s="142" t="str">
        <f>IF(基本情報入力シート!AG97="","",基本情報入力シート!AG97)</f>
        <v/>
      </c>
      <c r="N69" s="136"/>
      <c r="O69" s="155" t="str">
        <f>IFERROR(VLOOKUP(K69,【参考】数式用!$A$2:$F$57,MATCH(N69,【参考】数式用!$C$3:$F$3,0)+2,0),"")</f>
        <v/>
      </c>
      <c r="P69" s="456" t="s">
        <v>180</v>
      </c>
      <c r="Q69" s="141"/>
      <c r="R69" s="457" t="s">
        <v>271</v>
      </c>
      <c r="S69" s="141"/>
      <c r="T69" s="457" t="s">
        <v>272</v>
      </c>
      <c r="U69" s="141"/>
      <c r="V69" s="457" t="s">
        <v>271</v>
      </c>
      <c r="W69" s="141"/>
      <c r="X69" s="457" t="s">
        <v>273</v>
      </c>
      <c r="Y69" s="457" t="s">
        <v>274</v>
      </c>
      <c r="Z69" s="457" t="str">
        <f t="shared" si="16"/>
        <v/>
      </c>
      <c r="AA69" s="458" t="s">
        <v>275</v>
      </c>
      <c r="AB69" s="459" t="str">
        <f t="shared" si="23"/>
        <v/>
      </c>
      <c r="AC69" s="460" t="str">
        <f>IFERROR(ROUNDDOWN(ROUNDDOWN(ROUND(L69*VLOOKUP(K69,【参考】数式用!$A$4:$F$57,MATCH("処遇改善加算Ⅳ",【参考】数式用!$C$3:$F$3,0)+2,0),0)*M69,0)*Z69*0.5,0), "")</f>
        <v/>
      </c>
      <c r="AD69" s="156"/>
      <c r="AE69" s="157"/>
      <c r="AF69" s="157"/>
      <c r="AG69" s="158"/>
      <c r="AH69" s="159"/>
      <c r="AI69" s="161"/>
      <c r="AJ69" s="161"/>
      <c r="AK69" s="542" t="str">
        <f t="shared" si="1"/>
        <v/>
      </c>
      <c r="AL69" s="543" t="str">
        <f t="shared" si="2"/>
        <v/>
      </c>
      <c r="AM69" s="544"/>
      <c r="AN69" s="548" t="str">
        <f>IFERROR(VLOOKUP(K69,【参考】数式用!$A$2:$N$57,14,FALSE),"")</f>
        <v/>
      </c>
      <c r="AO69" s="548" t="str">
        <f t="shared" si="3"/>
        <v/>
      </c>
      <c r="AP69" s="547" t="str">
        <f t="shared" si="4"/>
        <v/>
      </c>
      <c r="AQ69" s="547" t="str">
        <f t="shared" si="5"/>
        <v>入力済</v>
      </c>
      <c r="AR69" s="548" t="str">
        <f t="shared" si="6"/>
        <v/>
      </c>
      <c r="AS69" s="547" t="str">
        <f t="shared" si="7"/>
        <v>入力済</v>
      </c>
      <c r="AT69" s="547" t="str">
        <f t="shared" si="8"/>
        <v/>
      </c>
      <c r="AU69" s="547" t="str">
        <f t="shared" si="24"/>
        <v/>
      </c>
      <c r="AV69" s="548" t="str">
        <f t="shared" si="10"/>
        <v/>
      </c>
      <c r="AW69" s="548" t="str">
        <f t="shared" si="11"/>
        <v>入力済</v>
      </c>
      <c r="AX69" s="547" t="str">
        <f>IFERROR(VLOOKUP(K69,【参考】数式用!$AR$3:$AS$49,2, FALSE), "")</f>
        <v/>
      </c>
      <c r="AY69" s="548" t="str">
        <f t="shared" si="12"/>
        <v/>
      </c>
      <c r="AZ69" s="548" t="str">
        <f t="shared" si="13"/>
        <v>入力済</v>
      </c>
      <c r="BA69" s="547" t="str">
        <f>IFERROR(VLOOKUP(K69,【参考】数式用!$AX$3:$AY$56, 2, FALSE), "")</f>
        <v/>
      </c>
      <c r="BB69" s="548" t="str">
        <f t="shared" si="25"/>
        <v/>
      </c>
      <c r="BC69" s="648" t="str">
        <f t="shared" si="15"/>
        <v>入力済</v>
      </c>
      <c r="BD69" s="548" t="str">
        <f t="shared" si="17"/>
        <v/>
      </c>
      <c r="BE69" s="548" t="str">
        <f t="shared" si="26"/>
        <v/>
      </c>
      <c r="BF69" s="515"/>
      <c r="BG69" s="515"/>
      <c r="BH69" s="634" t="e">
        <f>VLOOKUP(K69,【参考】数式用!$A$2:$O$57,15,FALSE)</f>
        <v>#N/A</v>
      </c>
      <c r="BI69" s="515"/>
      <c r="BJ69" s="515"/>
      <c r="BK69" s="515"/>
      <c r="BL69" s="515"/>
      <c r="BM69" s="515"/>
      <c r="BN69" s="515"/>
      <c r="BO69" s="516"/>
    </row>
    <row r="70" spans="1:67" s="517" customFormat="1" ht="109.9" customHeight="1" thickBot="1">
      <c r="A70" s="454">
        <v>59</v>
      </c>
      <c r="B70" s="933" t="str">
        <f>IF(基本情報入力シート!B98="","",基本情報入力シート!B98)</f>
        <v/>
      </c>
      <c r="C70" s="934"/>
      <c r="D70" s="934"/>
      <c r="E70" s="934"/>
      <c r="F70" s="935"/>
      <c r="G70" s="455" t="str">
        <f>IF(基本情報入力シート!L98="", "", 基本情報入力シート!L98)</f>
        <v/>
      </c>
      <c r="H70" s="455" t="str">
        <f>IF(基本情報入力シート!Q98="", "", 基本情報入力シート!Q98)</f>
        <v/>
      </c>
      <c r="I70" s="455" t="str">
        <f>IF(基本情報入力シート!V98="", "", 基本情報入力シート!V98)</f>
        <v/>
      </c>
      <c r="J70" s="455" t="str">
        <f>IF(基本情報入力シート!W98="", "", 基本情報入力シート!W98)</f>
        <v/>
      </c>
      <c r="K70" s="455" t="str">
        <f>IF(基本情報入力シート!Z98="", "", 基本情報入力シート!Z98)</f>
        <v/>
      </c>
      <c r="L70" s="101" t="str">
        <f>IF(基本情報入力シート!AF98=0, "",基本情報入力シート!AF98)</f>
        <v/>
      </c>
      <c r="M70" s="142" t="str">
        <f>IF(基本情報入力シート!AG98="","",基本情報入力シート!AG98)</f>
        <v/>
      </c>
      <c r="N70" s="136"/>
      <c r="O70" s="155" t="str">
        <f>IFERROR(VLOOKUP(K70,【参考】数式用!$A$2:$F$57,MATCH(N70,【参考】数式用!$C$3:$F$3,0)+2,0),"")</f>
        <v/>
      </c>
      <c r="P70" s="456" t="s">
        <v>180</v>
      </c>
      <c r="Q70" s="141"/>
      <c r="R70" s="457" t="s">
        <v>271</v>
      </c>
      <c r="S70" s="141"/>
      <c r="T70" s="457" t="s">
        <v>272</v>
      </c>
      <c r="U70" s="141"/>
      <c r="V70" s="457" t="s">
        <v>271</v>
      </c>
      <c r="W70" s="141"/>
      <c r="X70" s="457" t="s">
        <v>182</v>
      </c>
      <c r="Y70" s="457" t="s">
        <v>274</v>
      </c>
      <c r="Z70" s="457" t="str">
        <f t="shared" si="16"/>
        <v/>
      </c>
      <c r="AA70" s="458" t="s">
        <v>275</v>
      </c>
      <c r="AB70" s="459" t="str">
        <f t="shared" si="23"/>
        <v/>
      </c>
      <c r="AC70" s="460" t="str">
        <f>IFERROR(ROUNDDOWN(ROUNDDOWN(ROUND(L70*VLOOKUP(K70,【参考】数式用!$A$4:$F$57,MATCH("処遇改善加算Ⅳ",【参考】数式用!$C$3:$F$3,0)+2,0),0)*M70,0)*Z70*0.5,0), "")</f>
        <v/>
      </c>
      <c r="AD70" s="156"/>
      <c r="AE70" s="157"/>
      <c r="AF70" s="157"/>
      <c r="AG70" s="158"/>
      <c r="AH70" s="159"/>
      <c r="AI70" s="161"/>
      <c r="AJ70" s="161"/>
      <c r="AK70" s="542" t="str">
        <f t="shared" si="1"/>
        <v/>
      </c>
      <c r="AL70" s="543" t="str">
        <f t="shared" si="2"/>
        <v/>
      </c>
      <c r="AM70" s="544"/>
      <c r="AN70" s="548" t="str">
        <f>IFERROR(VLOOKUP(K70,【参考】数式用!$A$2:$N$57,14,FALSE),"")</f>
        <v/>
      </c>
      <c r="AO70" s="548" t="str">
        <f t="shared" si="3"/>
        <v/>
      </c>
      <c r="AP70" s="547" t="str">
        <f t="shared" si="4"/>
        <v/>
      </c>
      <c r="AQ70" s="547" t="str">
        <f t="shared" si="5"/>
        <v>入力済</v>
      </c>
      <c r="AR70" s="548" t="str">
        <f t="shared" si="6"/>
        <v/>
      </c>
      <c r="AS70" s="547" t="str">
        <f t="shared" si="7"/>
        <v>入力済</v>
      </c>
      <c r="AT70" s="547" t="str">
        <f t="shared" si="8"/>
        <v/>
      </c>
      <c r="AU70" s="547" t="str">
        <f t="shared" si="24"/>
        <v/>
      </c>
      <c r="AV70" s="548" t="str">
        <f t="shared" si="10"/>
        <v/>
      </c>
      <c r="AW70" s="548" t="str">
        <f t="shared" si="11"/>
        <v>入力済</v>
      </c>
      <c r="AX70" s="547" t="str">
        <f>IFERROR(VLOOKUP(K70,【参考】数式用!$AR$3:$AS$49,2, FALSE), "")</f>
        <v/>
      </c>
      <c r="AY70" s="548" t="str">
        <f t="shared" si="12"/>
        <v/>
      </c>
      <c r="AZ70" s="548" t="str">
        <f t="shared" si="13"/>
        <v>入力済</v>
      </c>
      <c r="BA70" s="547" t="str">
        <f>IFERROR(VLOOKUP(K70,【参考】数式用!$AX$3:$AY$56, 2, FALSE), "")</f>
        <v/>
      </c>
      <c r="BB70" s="548" t="str">
        <f t="shared" si="25"/>
        <v/>
      </c>
      <c r="BC70" s="648" t="str">
        <f t="shared" si="15"/>
        <v>入力済</v>
      </c>
      <c r="BD70" s="548" t="str">
        <f t="shared" si="17"/>
        <v/>
      </c>
      <c r="BE70" s="548" t="str">
        <f t="shared" si="26"/>
        <v/>
      </c>
      <c r="BF70" s="515"/>
      <c r="BG70" s="515"/>
      <c r="BH70" s="634" t="e">
        <f>VLOOKUP(K70,【参考】数式用!$A$2:$O$57,15,FALSE)</f>
        <v>#N/A</v>
      </c>
      <c r="BI70" s="515"/>
      <c r="BJ70" s="515"/>
      <c r="BK70" s="515"/>
      <c r="BL70" s="515"/>
      <c r="BM70" s="515"/>
      <c r="BN70" s="515"/>
      <c r="BO70" s="516"/>
    </row>
    <row r="71" spans="1:67" s="517" customFormat="1" ht="109.9" customHeight="1" thickBot="1">
      <c r="A71" s="454">
        <v>60</v>
      </c>
      <c r="B71" s="933" t="str">
        <f>IF(基本情報入力シート!B99="","",基本情報入力シート!B99)</f>
        <v/>
      </c>
      <c r="C71" s="934"/>
      <c r="D71" s="934"/>
      <c r="E71" s="934"/>
      <c r="F71" s="935"/>
      <c r="G71" s="455" t="str">
        <f>IF(基本情報入力シート!L99="", "", 基本情報入力シート!L99)</f>
        <v/>
      </c>
      <c r="H71" s="455" t="str">
        <f>IF(基本情報入力シート!Q99="", "", 基本情報入力シート!Q99)</f>
        <v/>
      </c>
      <c r="I71" s="455" t="str">
        <f>IF(基本情報入力シート!V99="", "", 基本情報入力シート!V99)</f>
        <v/>
      </c>
      <c r="J71" s="455" t="str">
        <f>IF(基本情報入力シート!W99="", "", 基本情報入力シート!W99)</f>
        <v/>
      </c>
      <c r="K71" s="455" t="str">
        <f>IF(基本情報入力シート!Z99="", "", 基本情報入力シート!Z99)</f>
        <v/>
      </c>
      <c r="L71" s="101" t="str">
        <f>IF(基本情報入力シート!AF99=0, "",基本情報入力シート!AF99)</f>
        <v/>
      </c>
      <c r="M71" s="142" t="str">
        <f>IF(基本情報入力シート!AG99="","",基本情報入力シート!AG99)</f>
        <v/>
      </c>
      <c r="N71" s="136"/>
      <c r="O71" s="155" t="str">
        <f>IFERROR(VLOOKUP(K71,【参考】数式用!$A$2:$F$57,MATCH(N71,【参考】数式用!$C$3:$F$3,0)+2,0),"")</f>
        <v/>
      </c>
      <c r="P71" s="456" t="s">
        <v>180</v>
      </c>
      <c r="Q71" s="141"/>
      <c r="R71" s="457" t="s">
        <v>271</v>
      </c>
      <c r="S71" s="141"/>
      <c r="T71" s="457" t="s">
        <v>272</v>
      </c>
      <c r="U71" s="141"/>
      <c r="V71" s="457" t="s">
        <v>271</v>
      </c>
      <c r="W71" s="141"/>
      <c r="X71" s="457" t="s">
        <v>182</v>
      </c>
      <c r="Y71" s="457" t="s">
        <v>274</v>
      </c>
      <c r="Z71" s="457" t="str">
        <f t="shared" si="16"/>
        <v/>
      </c>
      <c r="AA71" s="458" t="s">
        <v>275</v>
      </c>
      <c r="AB71" s="459" t="str">
        <f t="shared" si="23"/>
        <v/>
      </c>
      <c r="AC71" s="460" t="str">
        <f>IFERROR(ROUNDDOWN(ROUNDDOWN(ROUND(L71*VLOOKUP(K71,【参考】数式用!$A$4:$F$57,MATCH("処遇改善加算Ⅳ",【参考】数式用!$C$3:$F$3,0)+2,0),0)*M71,0)*Z71*0.5,0), "")</f>
        <v/>
      </c>
      <c r="AD71" s="156"/>
      <c r="AE71" s="157"/>
      <c r="AF71" s="157"/>
      <c r="AG71" s="158"/>
      <c r="AH71" s="159"/>
      <c r="AI71" s="161"/>
      <c r="AJ71" s="161"/>
      <c r="AK71" s="542" t="str">
        <f t="shared" si="1"/>
        <v/>
      </c>
      <c r="AL71" s="543" t="str">
        <f t="shared" si="2"/>
        <v/>
      </c>
      <c r="AM71" s="544"/>
      <c r="AN71" s="548" t="str">
        <f>IFERROR(VLOOKUP(K71,【参考】数式用!$A$2:$N$57,14,FALSE),"")</f>
        <v/>
      </c>
      <c r="AO71" s="548" t="str">
        <f t="shared" si="3"/>
        <v/>
      </c>
      <c r="AP71" s="547" t="str">
        <f t="shared" si="4"/>
        <v/>
      </c>
      <c r="AQ71" s="547" t="str">
        <f t="shared" si="5"/>
        <v>入力済</v>
      </c>
      <c r="AR71" s="548" t="str">
        <f t="shared" si="6"/>
        <v/>
      </c>
      <c r="AS71" s="547" t="str">
        <f t="shared" si="7"/>
        <v>入力済</v>
      </c>
      <c r="AT71" s="547" t="str">
        <f t="shared" si="8"/>
        <v/>
      </c>
      <c r="AU71" s="547" t="str">
        <f t="shared" si="24"/>
        <v/>
      </c>
      <c r="AV71" s="548" t="str">
        <f t="shared" si="10"/>
        <v/>
      </c>
      <c r="AW71" s="548" t="str">
        <f t="shared" si="11"/>
        <v>入力済</v>
      </c>
      <c r="AX71" s="547" t="str">
        <f>IFERROR(VLOOKUP(K71,【参考】数式用!$AR$3:$AS$49,2, FALSE), "")</f>
        <v/>
      </c>
      <c r="AY71" s="548" t="str">
        <f t="shared" si="12"/>
        <v/>
      </c>
      <c r="AZ71" s="548" t="str">
        <f t="shared" si="13"/>
        <v>入力済</v>
      </c>
      <c r="BA71" s="547" t="str">
        <f>IFERROR(VLOOKUP(K71,【参考】数式用!$AX$3:$AY$56, 2, FALSE), "")</f>
        <v/>
      </c>
      <c r="BB71" s="548" t="str">
        <f t="shared" si="25"/>
        <v/>
      </c>
      <c r="BC71" s="648" t="str">
        <f t="shared" si="15"/>
        <v>入力済</v>
      </c>
      <c r="BD71" s="548" t="str">
        <f t="shared" si="17"/>
        <v/>
      </c>
      <c r="BE71" s="548" t="str">
        <f t="shared" si="26"/>
        <v/>
      </c>
      <c r="BF71" s="515"/>
      <c r="BG71" s="515"/>
      <c r="BH71" s="634" t="e">
        <f>VLOOKUP(K71,【参考】数式用!$A$2:$O$57,15,FALSE)</f>
        <v>#N/A</v>
      </c>
      <c r="BI71" s="515"/>
      <c r="BJ71" s="515"/>
      <c r="BK71" s="515"/>
      <c r="BL71" s="515"/>
      <c r="BM71" s="515"/>
      <c r="BN71" s="515"/>
      <c r="BO71" s="516"/>
    </row>
    <row r="72" spans="1:67" s="517" customFormat="1" ht="109.9" customHeight="1" thickBot="1">
      <c r="A72" s="454">
        <v>61</v>
      </c>
      <c r="B72" s="933" t="str">
        <f>IF(基本情報入力シート!B100="","",基本情報入力シート!B100)</f>
        <v/>
      </c>
      <c r="C72" s="934"/>
      <c r="D72" s="934"/>
      <c r="E72" s="934"/>
      <c r="F72" s="935"/>
      <c r="G72" s="455" t="str">
        <f>IF(基本情報入力シート!L100="", "", 基本情報入力シート!L100)</f>
        <v/>
      </c>
      <c r="H72" s="455" t="str">
        <f>IF(基本情報入力シート!Q100="", "", 基本情報入力シート!Q100)</f>
        <v/>
      </c>
      <c r="I72" s="455" t="str">
        <f>IF(基本情報入力シート!V100="", "", 基本情報入力シート!V100)</f>
        <v/>
      </c>
      <c r="J72" s="455" t="str">
        <f>IF(基本情報入力シート!W100="", "", 基本情報入力シート!W100)</f>
        <v/>
      </c>
      <c r="K72" s="455" t="str">
        <f>IF(基本情報入力シート!Z100="", "", 基本情報入力シート!Z100)</f>
        <v/>
      </c>
      <c r="L72" s="101" t="str">
        <f>IF(基本情報入力シート!AF100=0, "",基本情報入力シート!AF100)</f>
        <v/>
      </c>
      <c r="M72" s="142" t="str">
        <f>IF(基本情報入力シート!AG100="","",基本情報入力シート!AG100)</f>
        <v/>
      </c>
      <c r="N72" s="136"/>
      <c r="O72" s="155" t="str">
        <f>IFERROR(VLOOKUP(K72,【参考】数式用!$A$2:$F$57,MATCH(N72,【参考】数式用!$C$3:$F$3,0)+2,0),"")</f>
        <v/>
      </c>
      <c r="P72" s="456" t="s">
        <v>180</v>
      </c>
      <c r="Q72" s="141"/>
      <c r="R72" s="457" t="s">
        <v>271</v>
      </c>
      <c r="S72" s="141"/>
      <c r="T72" s="457" t="s">
        <v>272</v>
      </c>
      <c r="U72" s="141"/>
      <c r="V72" s="457" t="s">
        <v>271</v>
      </c>
      <c r="W72" s="141"/>
      <c r="X72" s="457" t="s">
        <v>273</v>
      </c>
      <c r="Y72" s="457" t="s">
        <v>274</v>
      </c>
      <c r="Z72" s="457" t="str">
        <f t="shared" si="16"/>
        <v/>
      </c>
      <c r="AA72" s="458" t="s">
        <v>275</v>
      </c>
      <c r="AB72" s="459" t="str">
        <f t="shared" si="23"/>
        <v/>
      </c>
      <c r="AC72" s="460" t="str">
        <f>IFERROR(ROUNDDOWN(ROUNDDOWN(ROUND(L72*VLOOKUP(K72,【参考】数式用!$A$4:$F$57,MATCH("処遇改善加算Ⅳ",【参考】数式用!$C$3:$F$3,0)+2,0),0)*M72,0)*Z72*0.5,0), "")</f>
        <v/>
      </c>
      <c r="AD72" s="156"/>
      <c r="AE72" s="157"/>
      <c r="AF72" s="157"/>
      <c r="AG72" s="158"/>
      <c r="AH72" s="159"/>
      <c r="AI72" s="161"/>
      <c r="AJ72" s="161"/>
      <c r="AK72" s="542" t="str">
        <f t="shared" si="1"/>
        <v/>
      </c>
      <c r="AL72" s="543" t="str">
        <f t="shared" si="2"/>
        <v/>
      </c>
      <c r="AM72" s="544"/>
      <c r="AN72" s="548" t="str">
        <f>IFERROR(VLOOKUP(K72,【参考】数式用!$A$2:$N$57,14,FALSE),"")</f>
        <v/>
      </c>
      <c r="AO72" s="548" t="str">
        <f t="shared" si="3"/>
        <v/>
      </c>
      <c r="AP72" s="547" t="str">
        <f t="shared" si="4"/>
        <v/>
      </c>
      <c r="AQ72" s="547" t="str">
        <f t="shared" si="5"/>
        <v>入力済</v>
      </c>
      <c r="AR72" s="548" t="str">
        <f t="shared" si="6"/>
        <v/>
      </c>
      <c r="AS72" s="547" t="str">
        <f t="shared" si="7"/>
        <v>入力済</v>
      </c>
      <c r="AT72" s="547" t="str">
        <f t="shared" si="8"/>
        <v/>
      </c>
      <c r="AU72" s="547" t="str">
        <f t="shared" si="24"/>
        <v/>
      </c>
      <c r="AV72" s="548" t="str">
        <f t="shared" si="10"/>
        <v/>
      </c>
      <c r="AW72" s="548" t="str">
        <f t="shared" si="11"/>
        <v>入力済</v>
      </c>
      <c r="AX72" s="547" t="str">
        <f>IFERROR(VLOOKUP(K72,【参考】数式用!$AR$3:$AS$49,2, FALSE), "")</f>
        <v/>
      </c>
      <c r="AY72" s="548" t="str">
        <f t="shared" si="12"/>
        <v/>
      </c>
      <c r="AZ72" s="548" t="str">
        <f t="shared" si="13"/>
        <v>入力済</v>
      </c>
      <c r="BA72" s="547" t="str">
        <f>IFERROR(VLOOKUP(K72,【参考】数式用!$AX$3:$AY$56, 2, FALSE), "")</f>
        <v/>
      </c>
      <c r="BB72" s="548" t="str">
        <f t="shared" si="25"/>
        <v/>
      </c>
      <c r="BC72" s="648" t="str">
        <f t="shared" si="15"/>
        <v>入力済</v>
      </c>
      <c r="BD72" s="548" t="str">
        <f t="shared" si="17"/>
        <v/>
      </c>
      <c r="BE72" s="548" t="str">
        <f t="shared" si="26"/>
        <v/>
      </c>
      <c r="BF72" s="515"/>
      <c r="BG72" s="515"/>
      <c r="BH72" s="634" t="e">
        <f>VLOOKUP(K72,【参考】数式用!$A$2:$O$57,15,FALSE)</f>
        <v>#N/A</v>
      </c>
      <c r="BI72" s="515"/>
      <c r="BJ72" s="515"/>
      <c r="BK72" s="515"/>
      <c r="BL72" s="515"/>
      <c r="BM72" s="515"/>
      <c r="BN72" s="515"/>
      <c r="BO72" s="516"/>
    </row>
    <row r="73" spans="1:67" s="517" customFormat="1" ht="109.9" customHeight="1" thickBot="1">
      <c r="A73" s="454">
        <v>62</v>
      </c>
      <c r="B73" s="933" t="str">
        <f>IF(基本情報入力シート!B101="","",基本情報入力シート!B101)</f>
        <v/>
      </c>
      <c r="C73" s="934"/>
      <c r="D73" s="934"/>
      <c r="E73" s="934"/>
      <c r="F73" s="935"/>
      <c r="G73" s="455" t="str">
        <f>IF(基本情報入力シート!L101="", "", 基本情報入力シート!L101)</f>
        <v/>
      </c>
      <c r="H73" s="455" t="str">
        <f>IF(基本情報入力シート!Q101="", "", 基本情報入力シート!Q101)</f>
        <v/>
      </c>
      <c r="I73" s="455" t="str">
        <f>IF(基本情報入力シート!V101="", "", 基本情報入力シート!V101)</f>
        <v/>
      </c>
      <c r="J73" s="455" t="str">
        <f>IF(基本情報入力シート!W101="", "", 基本情報入力シート!W101)</f>
        <v/>
      </c>
      <c r="K73" s="455" t="str">
        <f>IF(基本情報入力シート!Z101="", "", 基本情報入力シート!Z101)</f>
        <v/>
      </c>
      <c r="L73" s="101" t="str">
        <f>IF(基本情報入力シート!AF101=0, "",基本情報入力シート!AF101)</f>
        <v/>
      </c>
      <c r="M73" s="142" t="str">
        <f>IF(基本情報入力シート!AG101="","",基本情報入力シート!AG101)</f>
        <v/>
      </c>
      <c r="N73" s="136"/>
      <c r="O73" s="155" t="str">
        <f>IFERROR(VLOOKUP(K73,【参考】数式用!$A$2:$F$57,MATCH(N73,【参考】数式用!$C$3:$F$3,0)+2,0),"")</f>
        <v/>
      </c>
      <c r="P73" s="456" t="s">
        <v>180</v>
      </c>
      <c r="Q73" s="141"/>
      <c r="R73" s="457" t="s">
        <v>271</v>
      </c>
      <c r="S73" s="141"/>
      <c r="T73" s="457" t="s">
        <v>272</v>
      </c>
      <c r="U73" s="141"/>
      <c r="V73" s="457" t="s">
        <v>271</v>
      </c>
      <c r="W73" s="141"/>
      <c r="X73" s="457" t="s">
        <v>273</v>
      </c>
      <c r="Y73" s="457" t="s">
        <v>274</v>
      </c>
      <c r="Z73" s="457" t="str">
        <f t="shared" si="16"/>
        <v/>
      </c>
      <c r="AA73" s="458" t="s">
        <v>275</v>
      </c>
      <c r="AB73" s="459" t="str">
        <f t="shared" si="23"/>
        <v/>
      </c>
      <c r="AC73" s="460" t="str">
        <f>IFERROR(ROUNDDOWN(ROUNDDOWN(ROUND(L73*VLOOKUP(K73,【参考】数式用!$A$4:$F$57,MATCH("処遇改善加算Ⅳ",【参考】数式用!$C$3:$F$3,0)+2,0),0)*M73,0)*Z73*0.5,0), "")</f>
        <v/>
      </c>
      <c r="AD73" s="156"/>
      <c r="AE73" s="157"/>
      <c r="AF73" s="157"/>
      <c r="AG73" s="158"/>
      <c r="AH73" s="159"/>
      <c r="AI73" s="161"/>
      <c r="AJ73" s="161"/>
      <c r="AK73" s="542" t="str">
        <f t="shared" si="1"/>
        <v/>
      </c>
      <c r="AL73" s="543" t="str">
        <f t="shared" si="2"/>
        <v/>
      </c>
      <c r="AM73" s="544"/>
      <c r="AN73" s="548" t="str">
        <f>IFERROR(VLOOKUP(K73,【参考】数式用!$A$2:$N$57,14,FALSE),"")</f>
        <v/>
      </c>
      <c r="AO73" s="548" t="str">
        <f t="shared" si="3"/>
        <v/>
      </c>
      <c r="AP73" s="547" t="str">
        <f t="shared" si="4"/>
        <v/>
      </c>
      <c r="AQ73" s="547" t="str">
        <f t="shared" si="5"/>
        <v>入力済</v>
      </c>
      <c r="AR73" s="548" t="str">
        <f t="shared" si="6"/>
        <v/>
      </c>
      <c r="AS73" s="547" t="str">
        <f t="shared" si="7"/>
        <v>入力済</v>
      </c>
      <c r="AT73" s="547" t="str">
        <f t="shared" si="8"/>
        <v/>
      </c>
      <c r="AU73" s="547" t="str">
        <f t="shared" si="24"/>
        <v/>
      </c>
      <c r="AV73" s="548" t="str">
        <f t="shared" si="10"/>
        <v/>
      </c>
      <c r="AW73" s="548" t="str">
        <f t="shared" si="11"/>
        <v>入力済</v>
      </c>
      <c r="AX73" s="547" t="str">
        <f>IFERROR(VLOOKUP(K73,【参考】数式用!$AR$3:$AS$49,2, FALSE), "")</f>
        <v/>
      </c>
      <c r="AY73" s="548" t="str">
        <f t="shared" si="12"/>
        <v/>
      </c>
      <c r="AZ73" s="548" t="str">
        <f t="shared" si="13"/>
        <v>入力済</v>
      </c>
      <c r="BA73" s="547" t="str">
        <f>IFERROR(VLOOKUP(K73,【参考】数式用!$AX$3:$AY$56, 2, FALSE), "")</f>
        <v/>
      </c>
      <c r="BB73" s="548" t="str">
        <f t="shared" si="25"/>
        <v/>
      </c>
      <c r="BC73" s="648" t="str">
        <f t="shared" si="15"/>
        <v>入力済</v>
      </c>
      <c r="BD73" s="548" t="str">
        <f t="shared" si="17"/>
        <v/>
      </c>
      <c r="BE73" s="548" t="str">
        <f t="shared" si="26"/>
        <v/>
      </c>
      <c r="BF73" s="515"/>
      <c r="BG73" s="515"/>
      <c r="BH73" s="634" t="e">
        <f>VLOOKUP(K73,【参考】数式用!$A$2:$O$57,15,FALSE)</f>
        <v>#N/A</v>
      </c>
      <c r="BI73" s="515"/>
      <c r="BJ73" s="515"/>
      <c r="BK73" s="515"/>
      <c r="BL73" s="515"/>
      <c r="BM73" s="515"/>
      <c r="BN73" s="515"/>
      <c r="BO73" s="516"/>
    </row>
    <row r="74" spans="1:67" s="517" customFormat="1" ht="109.9" customHeight="1" thickBot="1">
      <c r="A74" s="454">
        <v>63</v>
      </c>
      <c r="B74" s="933" t="str">
        <f>IF(基本情報入力シート!B102="","",基本情報入力シート!B102)</f>
        <v/>
      </c>
      <c r="C74" s="934"/>
      <c r="D74" s="934"/>
      <c r="E74" s="934"/>
      <c r="F74" s="935"/>
      <c r="G74" s="455" t="str">
        <f>IF(基本情報入力シート!L102="", "", 基本情報入力シート!L102)</f>
        <v/>
      </c>
      <c r="H74" s="455" t="str">
        <f>IF(基本情報入力シート!Q102="", "", 基本情報入力シート!Q102)</f>
        <v/>
      </c>
      <c r="I74" s="455" t="str">
        <f>IF(基本情報入力シート!V102="", "", 基本情報入力シート!V102)</f>
        <v/>
      </c>
      <c r="J74" s="455" t="str">
        <f>IF(基本情報入力シート!W102="", "", 基本情報入力シート!W102)</f>
        <v/>
      </c>
      <c r="K74" s="455" t="str">
        <f>IF(基本情報入力シート!Z102="", "", 基本情報入力シート!Z102)</f>
        <v/>
      </c>
      <c r="L74" s="101" t="str">
        <f>IF(基本情報入力シート!AF102=0, "",基本情報入力シート!AF102)</f>
        <v/>
      </c>
      <c r="M74" s="142" t="str">
        <f>IF(基本情報入力シート!AG102="","",基本情報入力シート!AG102)</f>
        <v/>
      </c>
      <c r="N74" s="136"/>
      <c r="O74" s="155" t="str">
        <f>IFERROR(VLOOKUP(K74,【参考】数式用!$A$2:$F$57,MATCH(N74,【参考】数式用!$C$3:$F$3,0)+2,0),"")</f>
        <v/>
      </c>
      <c r="P74" s="456" t="s">
        <v>180</v>
      </c>
      <c r="Q74" s="141"/>
      <c r="R74" s="457" t="s">
        <v>271</v>
      </c>
      <c r="S74" s="141"/>
      <c r="T74" s="457" t="s">
        <v>272</v>
      </c>
      <c r="U74" s="141"/>
      <c r="V74" s="457" t="s">
        <v>271</v>
      </c>
      <c r="W74" s="141"/>
      <c r="X74" s="457" t="s">
        <v>273</v>
      </c>
      <c r="Y74" s="457" t="s">
        <v>274</v>
      </c>
      <c r="Z74" s="457" t="str">
        <f t="shared" si="16"/>
        <v/>
      </c>
      <c r="AA74" s="458" t="s">
        <v>275</v>
      </c>
      <c r="AB74" s="459" t="str">
        <f t="shared" si="23"/>
        <v/>
      </c>
      <c r="AC74" s="460" t="str">
        <f>IFERROR(ROUNDDOWN(ROUNDDOWN(ROUND(L74*VLOOKUP(K74,【参考】数式用!$A$4:$F$57,MATCH("処遇改善加算Ⅳ",【参考】数式用!$C$3:$F$3,0)+2,0),0)*M74,0)*Z74*0.5,0), "")</f>
        <v/>
      </c>
      <c r="AD74" s="156"/>
      <c r="AE74" s="157"/>
      <c r="AF74" s="157"/>
      <c r="AG74" s="158"/>
      <c r="AH74" s="159"/>
      <c r="AI74" s="161"/>
      <c r="AJ74" s="161"/>
      <c r="AK74" s="542" t="str">
        <f t="shared" si="1"/>
        <v/>
      </c>
      <c r="AL74" s="543" t="str">
        <f t="shared" si="2"/>
        <v/>
      </c>
      <c r="AM74" s="544"/>
      <c r="AN74" s="548" t="str">
        <f>IFERROR(VLOOKUP(K74,【参考】数式用!$A$2:$N$57,14,FALSE),"")</f>
        <v/>
      </c>
      <c r="AO74" s="548" t="str">
        <f t="shared" si="3"/>
        <v/>
      </c>
      <c r="AP74" s="547" t="str">
        <f t="shared" si="4"/>
        <v/>
      </c>
      <c r="AQ74" s="547" t="str">
        <f t="shared" si="5"/>
        <v>入力済</v>
      </c>
      <c r="AR74" s="548" t="str">
        <f t="shared" si="6"/>
        <v/>
      </c>
      <c r="AS74" s="547" t="str">
        <f t="shared" si="7"/>
        <v>入力済</v>
      </c>
      <c r="AT74" s="547" t="str">
        <f t="shared" si="8"/>
        <v/>
      </c>
      <c r="AU74" s="547" t="str">
        <f t="shared" si="24"/>
        <v/>
      </c>
      <c r="AV74" s="548" t="str">
        <f t="shared" si="10"/>
        <v/>
      </c>
      <c r="AW74" s="548" t="str">
        <f t="shared" si="11"/>
        <v>入力済</v>
      </c>
      <c r="AX74" s="547" t="str">
        <f>IFERROR(VLOOKUP(K74,【参考】数式用!$AR$3:$AS$49,2, FALSE), "")</f>
        <v/>
      </c>
      <c r="AY74" s="548" t="str">
        <f t="shared" si="12"/>
        <v/>
      </c>
      <c r="AZ74" s="548" t="str">
        <f t="shared" si="13"/>
        <v>入力済</v>
      </c>
      <c r="BA74" s="547" t="str">
        <f>IFERROR(VLOOKUP(K74,【参考】数式用!$AX$3:$AY$56, 2, FALSE), "")</f>
        <v/>
      </c>
      <c r="BB74" s="548" t="str">
        <f t="shared" si="25"/>
        <v/>
      </c>
      <c r="BC74" s="648" t="str">
        <f t="shared" si="15"/>
        <v>入力済</v>
      </c>
      <c r="BD74" s="548" t="str">
        <f t="shared" si="17"/>
        <v/>
      </c>
      <c r="BE74" s="548" t="str">
        <f t="shared" si="26"/>
        <v/>
      </c>
      <c r="BF74" s="515"/>
      <c r="BG74" s="515"/>
      <c r="BH74" s="634" t="e">
        <f>VLOOKUP(K74,【参考】数式用!$A$2:$O$57,15,FALSE)</f>
        <v>#N/A</v>
      </c>
      <c r="BI74" s="515"/>
      <c r="BJ74" s="515"/>
      <c r="BK74" s="515"/>
      <c r="BL74" s="515"/>
      <c r="BM74" s="515"/>
      <c r="BN74" s="515"/>
      <c r="BO74" s="516"/>
    </row>
    <row r="75" spans="1:67" s="517" customFormat="1" ht="109.9" customHeight="1" thickBot="1">
      <c r="A75" s="454">
        <v>64</v>
      </c>
      <c r="B75" s="933" t="str">
        <f>IF(基本情報入力シート!B103="","",基本情報入力シート!B103)</f>
        <v/>
      </c>
      <c r="C75" s="934"/>
      <c r="D75" s="934"/>
      <c r="E75" s="934"/>
      <c r="F75" s="935"/>
      <c r="G75" s="455" t="str">
        <f>IF(基本情報入力シート!L103="", "", 基本情報入力シート!L103)</f>
        <v/>
      </c>
      <c r="H75" s="455" t="str">
        <f>IF(基本情報入力シート!Q103="", "", 基本情報入力シート!Q103)</f>
        <v/>
      </c>
      <c r="I75" s="455" t="str">
        <f>IF(基本情報入力シート!V103="", "", 基本情報入力シート!V103)</f>
        <v/>
      </c>
      <c r="J75" s="455" t="str">
        <f>IF(基本情報入力シート!W103="", "", 基本情報入力シート!W103)</f>
        <v/>
      </c>
      <c r="K75" s="455" t="str">
        <f>IF(基本情報入力シート!Z103="", "", 基本情報入力シート!Z103)</f>
        <v/>
      </c>
      <c r="L75" s="101" t="str">
        <f>IF(基本情報入力シート!AF103=0, "",基本情報入力シート!AF103)</f>
        <v/>
      </c>
      <c r="M75" s="142" t="str">
        <f>IF(基本情報入力シート!AG103="","",基本情報入力シート!AG103)</f>
        <v/>
      </c>
      <c r="N75" s="136"/>
      <c r="O75" s="155" t="str">
        <f>IFERROR(VLOOKUP(K75,【参考】数式用!$A$2:$F$57,MATCH(N75,【参考】数式用!$C$3:$F$3,0)+2,0),"")</f>
        <v/>
      </c>
      <c r="P75" s="456" t="s">
        <v>180</v>
      </c>
      <c r="Q75" s="141"/>
      <c r="R75" s="457" t="s">
        <v>271</v>
      </c>
      <c r="S75" s="141"/>
      <c r="T75" s="457" t="s">
        <v>272</v>
      </c>
      <c r="U75" s="141"/>
      <c r="V75" s="457" t="s">
        <v>271</v>
      </c>
      <c r="W75" s="141"/>
      <c r="X75" s="457" t="s">
        <v>182</v>
      </c>
      <c r="Y75" s="457" t="s">
        <v>274</v>
      </c>
      <c r="Z75" s="457" t="str">
        <f t="shared" si="16"/>
        <v/>
      </c>
      <c r="AA75" s="458" t="s">
        <v>275</v>
      </c>
      <c r="AB75" s="459" t="str">
        <f t="shared" si="23"/>
        <v/>
      </c>
      <c r="AC75" s="460" t="str">
        <f>IFERROR(ROUNDDOWN(ROUNDDOWN(ROUND(L75*VLOOKUP(K75,【参考】数式用!$A$4:$F$57,MATCH("処遇改善加算Ⅳ",【参考】数式用!$C$3:$F$3,0)+2,0),0)*M75,0)*Z75*0.5,0), "")</f>
        <v/>
      </c>
      <c r="AD75" s="156"/>
      <c r="AE75" s="157"/>
      <c r="AF75" s="157"/>
      <c r="AG75" s="158"/>
      <c r="AH75" s="159"/>
      <c r="AI75" s="161"/>
      <c r="AJ75" s="161"/>
      <c r="AK75" s="542" t="str">
        <f t="shared" si="1"/>
        <v/>
      </c>
      <c r="AL75" s="543" t="str">
        <f t="shared" si="2"/>
        <v/>
      </c>
      <c r="AM75" s="544"/>
      <c r="AN75" s="548" t="str">
        <f>IFERROR(VLOOKUP(K75,【参考】数式用!$A$2:$N$57,14,FALSE),"")</f>
        <v/>
      </c>
      <c r="AO75" s="548" t="str">
        <f t="shared" si="3"/>
        <v/>
      </c>
      <c r="AP75" s="547" t="str">
        <f t="shared" si="4"/>
        <v/>
      </c>
      <c r="AQ75" s="547" t="str">
        <f t="shared" si="5"/>
        <v>入力済</v>
      </c>
      <c r="AR75" s="548" t="str">
        <f t="shared" si="6"/>
        <v/>
      </c>
      <c r="AS75" s="547" t="str">
        <f t="shared" si="7"/>
        <v>入力済</v>
      </c>
      <c r="AT75" s="547" t="str">
        <f t="shared" si="8"/>
        <v/>
      </c>
      <c r="AU75" s="547" t="str">
        <f t="shared" si="24"/>
        <v/>
      </c>
      <c r="AV75" s="548" t="str">
        <f t="shared" si="10"/>
        <v/>
      </c>
      <c r="AW75" s="548" t="str">
        <f t="shared" si="11"/>
        <v>入力済</v>
      </c>
      <c r="AX75" s="547" t="str">
        <f>IFERROR(VLOOKUP(K75,【参考】数式用!$AR$3:$AS$49,2, FALSE), "")</f>
        <v/>
      </c>
      <c r="AY75" s="548" t="str">
        <f t="shared" si="12"/>
        <v/>
      </c>
      <c r="AZ75" s="548" t="str">
        <f t="shared" si="13"/>
        <v>入力済</v>
      </c>
      <c r="BA75" s="547" t="str">
        <f>IFERROR(VLOOKUP(K75,【参考】数式用!$AX$3:$AY$56, 2, FALSE), "")</f>
        <v/>
      </c>
      <c r="BB75" s="548" t="str">
        <f t="shared" si="25"/>
        <v/>
      </c>
      <c r="BC75" s="648" t="str">
        <f t="shared" si="15"/>
        <v>入力済</v>
      </c>
      <c r="BD75" s="548" t="str">
        <f t="shared" si="17"/>
        <v/>
      </c>
      <c r="BE75" s="548" t="str">
        <f t="shared" si="26"/>
        <v/>
      </c>
      <c r="BF75" s="515"/>
      <c r="BG75" s="515"/>
      <c r="BH75" s="634" t="e">
        <f>VLOOKUP(K75,【参考】数式用!$A$2:$O$57,15,FALSE)</f>
        <v>#N/A</v>
      </c>
      <c r="BI75" s="515"/>
      <c r="BJ75" s="515"/>
      <c r="BK75" s="515"/>
      <c r="BL75" s="515"/>
      <c r="BM75" s="515"/>
      <c r="BN75" s="515"/>
      <c r="BO75" s="516"/>
    </row>
    <row r="76" spans="1:67" s="517" customFormat="1" ht="109.9" customHeight="1" thickBot="1">
      <c r="A76" s="454">
        <v>65</v>
      </c>
      <c r="B76" s="933" t="str">
        <f>IF(基本情報入力シート!B104="","",基本情報入力シート!B104)</f>
        <v/>
      </c>
      <c r="C76" s="934"/>
      <c r="D76" s="934"/>
      <c r="E76" s="934"/>
      <c r="F76" s="935"/>
      <c r="G76" s="455" t="str">
        <f>IF(基本情報入力シート!L104="", "", 基本情報入力シート!L104)</f>
        <v/>
      </c>
      <c r="H76" s="455" t="str">
        <f>IF(基本情報入力シート!Q104="", "", 基本情報入力シート!Q104)</f>
        <v/>
      </c>
      <c r="I76" s="455" t="str">
        <f>IF(基本情報入力シート!V104="", "", 基本情報入力シート!V104)</f>
        <v/>
      </c>
      <c r="J76" s="455" t="str">
        <f>IF(基本情報入力シート!W104="", "", 基本情報入力シート!W104)</f>
        <v/>
      </c>
      <c r="K76" s="455" t="str">
        <f>IF(基本情報入力シート!Z104="", "", 基本情報入力シート!Z104)</f>
        <v/>
      </c>
      <c r="L76" s="101" t="str">
        <f>IF(基本情報入力シート!AF104=0, "",基本情報入力シート!AF104)</f>
        <v/>
      </c>
      <c r="M76" s="142" t="str">
        <f>IF(基本情報入力シート!AG104="","",基本情報入力シート!AG104)</f>
        <v/>
      </c>
      <c r="N76" s="136"/>
      <c r="O76" s="155" t="str">
        <f>IFERROR(VLOOKUP(K76,【参考】数式用!$A$2:$F$57,MATCH(N76,【参考】数式用!$C$3:$F$3,0)+2,0),"")</f>
        <v/>
      </c>
      <c r="P76" s="456" t="s">
        <v>180</v>
      </c>
      <c r="Q76" s="141"/>
      <c r="R76" s="457" t="s">
        <v>271</v>
      </c>
      <c r="S76" s="141"/>
      <c r="T76" s="457" t="s">
        <v>272</v>
      </c>
      <c r="U76" s="141"/>
      <c r="V76" s="457" t="s">
        <v>271</v>
      </c>
      <c r="W76" s="141"/>
      <c r="X76" s="457" t="s">
        <v>273</v>
      </c>
      <c r="Y76" s="457" t="s">
        <v>274</v>
      </c>
      <c r="Z76" s="457" t="str">
        <f t="shared" si="16"/>
        <v/>
      </c>
      <c r="AA76" s="458" t="s">
        <v>275</v>
      </c>
      <c r="AB76" s="459" t="str">
        <f t="shared" si="23"/>
        <v/>
      </c>
      <c r="AC76" s="460" t="str">
        <f>IFERROR(ROUNDDOWN(ROUNDDOWN(ROUND(L76*VLOOKUP(K76,【参考】数式用!$A$4:$F$57,MATCH("処遇改善加算Ⅳ",【参考】数式用!$C$3:$F$3,0)+2,0),0)*M76,0)*Z76*0.5,0), "")</f>
        <v/>
      </c>
      <c r="AD76" s="156"/>
      <c r="AE76" s="157"/>
      <c r="AF76" s="157"/>
      <c r="AG76" s="158"/>
      <c r="AH76" s="159"/>
      <c r="AI76" s="161"/>
      <c r="AJ76" s="161"/>
      <c r="AK76" s="542" t="str">
        <f t="shared" si="1"/>
        <v/>
      </c>
      <c r="AL76" s="543" t="str">
        <f t="shared" si="2"/>
        <v/>
      </c>
      <c r="AM76" s="544"/>
      <c r="AN76" s="548" t="str">
        <f>IFERROR(VLOOKUP(K76,【参考】数式用!$A$2:$N$57,14,FALSE),"")</f>
        <v/>
      </c>
      <c r="AO76" s="548" t="str">
        <f t="shared" si="3"/>
        <v/>
      </c>
      <c r="AP76" s="547" t="str">
        <f t="shared" si="4"/>
        <v/>
      </c>
      <c r="AQ76" s="547" t="str">
        <f t="shared" si="5"/>
        <v>入力済</v>
      </c>
      <c r="AR76" s="548" t="str">
        <f t="shared" si="6"/>
        <v/>
      </c>
      <c r="AS76" s="547" t="str">
        <f t="shared" si="7"/>
        <v>入力済</v>
      </c>
      <c r="AT76" s="547" t="str">
        <f t="shared" si="8"/>
        <v/>
      </c>
      <c r="AU76" s="547" t="str">
        <f t="shared" si="24"/>
        <v/>
      </c>
      <c r="AV76" s="548" t="str">
        <f t="shared" si="10"/>
        <v/>
      </c>
      <c r="AW76" s="548" t="str">
        <f t="shared" si="11"/>
        <v>入力済</v>
      </c>
      <c r="AX76" s="547" t="str">
        <f>IFERROR(VLOOKUP(K76,【参考】数式用!$AR$3:$AS$49,2, FALSE), "")</f>
        <v/>
      </c>
      <c r="AY76" s="548" t="str">
        <f t="shared" si="12"/>
        <v/>
      </c>
      <c r="AZ76" s="548" t="str">
        <f t="shared" si="13"/>
        <v>入力済</v>
      </c>
      <c r="BA76" s="547" t="str">
        <f>IFERROR(VLOOKUP(K76,【参考】数式用!$AX$3:$AY$56, 2, FALSE), "")</f>
        <v/>
      </c>
      <c r="BB76" s="548" t="str">
        <f t="shared" ref="BB76:BB111" si="27">IF(COUNTIF(AE76:AH76,"*令和８年度特例要件を*")&gt;0,"AJ列に色付け","")</f>
        <v/>
      </c>
      <c r="BC76" s="648" t="str">
        <f t="shared" si="15"/>
        <v>入力済</v>
      </c>
      <c r="BD76" s="548" t="str">
        <f t="shared" si="17"/>
        <v/>
      </c>
      <c r="BE76" s="548" t="str">
        <f t="shared" si="26"/>
        <v/>
      </c>
      <c r="BF76" s="515"/>
      <c r="BG76" s="515"/>
      <c r="BH76" s="634" t="e">
        <f>VLOOKUP(K76,【参考】数式用!$A$2:$O$57,15,FALSE)</f>
        <v>#N/A</v>
      </c>
      <c r="BI76" s="515"/>
      <c r="BJ76" s="515"/>
      <c r="BK76" s="515"/>
      <c r="BL76" s="515"/>
      <c r="BM76" s="515"/>
      <c r="BN76" s="515"/>
      <c r="BO76" s="516"/>
    </row>
    <row r="77" spans="1:67" s="517" customFormat="1" ht="109.9" customHeight="1" thickBot="1">
      <c r="A77" s="454">
        <v>66</v>
      </c>
      <c r="B77" s="933" t="str">
        <f>IF(基本情報入力シート!B105="","",基本情報入力シート!B105)</f>
        <v/>
      </c>
      <c r="C77" s="934"/>
      <c r="D77" s="934"/>
      <c r="E77" s="934"/>
      <c r="F77" s="935"/>
      <c r="G77" s="455" t="str">
        <f>IF(基本情報入力シート!L105="", "", 基本情報入力シート!L105)</f>
        <v/>
      </c>
      <c r="H77" s="455" t="str">
        <f>IF(基本情報入力シート!Q105="", "", 基本情報入力シート!Q105)</f>
        <v/>
      </c>
      <c r="I77" s="455" t="str">
        <f>IF(基本情報入力シート!V105="", "", 基本情報入力シート!V105)</f>
        <v/>
      </c>
      <c r="J77" s="455" t="str">
        <f>IF(基本情報入力シート!W105="", "", 基本情報入力シート!W105)</f>
        <v/>
      </c>
      <c r="K77" s="455" t="str">
        <f>IF(基本情報入力シート!Z105="", "", 基本情報入力シート!Z105)</f>
        <v/>
      </c>
      <c r="L77" s="101" t="str">
        <f>IF(基本情報入力シート!AF105=0, "",基本情報入力シート!AF105)</f>
        <v/>
      </c>
      <c r="M77" s="142" t="str">
        <f>IF(基本情報入力シート!AG105="","",基本情報入力シート!AG105)</f>
        <v/>
      </c>
      <c r="N77" s="136"/>
      <c r="O77" s="155" t="str">
        <f>IFERROR(VLOOKUP(K77,【参考】数式用!$A$2:$F$57,MATCH(N77,【参考】数式用!$C$3:$F$3,0)+2,0),"")</f>
        <v/>
      </c>
      <c r="P77" s="456" t="s">
        <v>180</v>
      </c>
      <c r="Q77" s="141"/>
      <c r="R77" s="457" t="s">
        <v>271</v>
      </c>
      <c r="S77" s="141"/>
      <c r="T77" s="457" t="s">
        <v>272</v>
      </c>
      <c r="U77" s="141"/>
      <c r="V77" s="457" t="s">
        <v>271</v>
      </c>
      <c r="W77" s="141"/>
      <c r="X77" s="457" t="s">
        <v>273</v>
      </c>
      <c r="Y77" s="457" t="s">
        <v>274</v>
      </c>
      <c r="Z77" s="457" t="str">
        <f t="shared" si="16"/>
        <v/>
      </c>
      <c r="AA77" s="458" t="s">
        <v>275</v>
      </c>
      <c r="AB77" s="459" t="str">
        <f t="shared" si="23"/>
        <v/>
      </c>
      <c r="AC77" s="460" t="str">
        <f>IFERROR(ROUNDDOWN(ROUNDDOWN(ROUND(L77*VLOOKUP(K77,【参考】数式用!$A$4:$F$57,MATCH("処遇改善加算Ⅳ",【参考】数式用!$C$3:$F$3,0)+2,0),0)*M77,0)*Z77*0.5,0), "")</f>
        <v/>
      </c>
      <c r="AD77" s="156"/>
      <c r="AE77" s="157"/>
      <c r="AF77" s="157"/>
      <c r="AG77" s="158"/>
      <c r="AH77" s="159"/>
      <c r="AI77" s="161"/>
      <c r="AJ77" s="161"/>
      <c r="AK77" s="542" t="str">
        <f t="shared" si="1"/>
        <v/>
      </c>
      <c r="AL77" s="543" t="str">
        <f t="shared" ref="AL77:AL111" si="28">IF(OR(N77="",AN77="加算対象外"),"",IF(OR(AND(COUNTIF(AP77,"未入力")&gt;0,AD77=""),AND(COUNTIF(AQ77,"未入力")&gt;0,AE77=""),AND(COUNTIF(AN77:BE77,"AF列に色付け")&gt;0,AF77=""),AND(COUNTIF(AN77:BE77,"AG列に色付け")&gt;0,OR(AG77="",AG77=0)),AND(COUNTIF(AN77:BE77,"AH列に色付け")&gt;0,AH77=""),AND(COUNTIF(AN77:BE77,"AI列に色付け")&gt;0,AI77=""),AND(COUNTIF(AN77:BE77,"AJ列に色付け")&gt;0,AJ77="")),"！記入が必要な欄（オレンジ色のセル）に空欄があります。空欄を埋めてください。",""))</f>
        <v/>
      </c>
      <c r="AM77" s="544"/>
      <c r="AN77" s="548" t="str">
        <f>IFERROR(VLOOKUP(K77,【参考】数式用!$A$2:$N$57,14,FALSE),"")</f>
        <v/>
      </c>
      <c r="AO77" s="548" t="str">
        <f t="shared" ref="AO77:AO111" si="29">IF(AND(K77&lt;&gt;"",AN77="加算対象"),"N列に色付け","")</f>
        <v/>
      </c>
      <c r="AP77" s="547" t="str">
        <f t="shared" ref="AP77:AP111" si="30">IF(AND(AC77&lt;&gt;0,AC77&lt;&gt;"",AN77="加算対象"),IF(AD77="○","入力済","未入力"),"")</f>
        <v/>
      </c>
      <c r="AQ77" s="547" t="str">
        <f t="shared" ref="AQ77:AQ111" si="31">IF(AND(N77&lt;&gt;"", AE77="",AN77="加算対象"), "未入力", "入力済")</f>
        <v>入力済</v>
      </c>
      <c r="AR77" s="548" t="str">
        <f t="shared" ref="AR77:AR111" si="32">IF(AND(N77&lt;&gt;"", N77&lt;&gt;"処遇改善加算Ⅳ",AN77="加算対象"),"AF列に色付け","")</f>
        <v/>
      </c>
      <c r="AS77" s="547" t="str">
        <f t="shared" ref="AS77:AS111" si="33">IF(AND(N77&lt;&gt;"", N77&lt;&gt;"処遇改善加算Ⅳ", AF77=""), "未入力", "入力済")</f>
        <v>入力済</v>
      </c>
      <c r="AT77" s="547" t="str">
        <f t="shared" si="8"/>
        <v/>
      </c>
      <c r="AU77" s="547" t="str">
        <f t="shared" si="24"/>
        <v/>
      </c>
      <c r="AV77" s="548" t="str">
        <f t="shared" si="10"/>
        <v/>
      </c>
      <c r="AW77" s="548" t="str">
        <f t="shared" ref="AW77:AW111" si="34">IF(AND($AU77=1,$AV77="AH列に色付け",OR($AG77="",$AH77="")),"未入力",IF(AND($AU77=1,$AV77="",$AG77=""),"未入力","入力済"))</f>
        <v>入力済</v>
      </c>
      <c r="AX77" s="547" t="str">
        <f>IFERROR(VLOOKUP(K77,【参考】数式用!$AR$3:$AS$49,2, FALSE), "")</f>
        <v/>
      </c>
      <c r="AY77" s="548" t="str">
        <f t="shared" ref="AY77:AY111" si="35">IF(AND(AN77="加算対象",N77="処遇改善加算Ⅰ"),"AI列に色付け","")</f>
        <v/>
      </c>
      <c r="AZ77" s="548" t="str">
        <f t="shared" si="13"/>
        <v>入力済</v>
      </c>
      <c r="BA77" s="547" t="str">
        <f>IFERROR(VLOOKUP(K77,【参考】数式用!$AX$3:$AY$56, 2, FALSE), "")</f>
        <v/>
      </c>
      <c r="BB77" s="548" t="str">
        <f t="shared" si="27"/>
        <v/>
      </c>
      <c r="BC77" s="648" t="str">
        <f t="shared" ref="BC77:BC111" si="36">IF(AND(COUNTIF(AE77:AH77,"*令和８年度特例要件を*")&gt;0,AJ77=""), "未入力","入力済")</f>
        <v>入力済</v>
      </c>
      <c r="BD77" s="548" t="str">
        <f t="shared" si="17"/>
        <v/>
      </c>
      <c r="BE77" s="548" t="str">
        <f t="shared" si="26"/>
        <v/>
      </c>
      <c r="BF77" s="515"/>
      <c r="BG77" s="515"/>
      <c r="BH77" s="634" t="e">
        <f>VLOOKUP(K77,【参考】数式用!$A$2:$O$57,15,FALSE)</f>
        <v>#N/A</v>
      </c>
      <c r="BI77" s="515"/>
      <c r="BJ77" s="515"/>
      <c r="BK77" s="515"/>
      <c r="BL77" s="515"/>
      <c r="BM77" s="515"/>
      <c r="BN77" s="515"/>
      <c r="BO77" s="516"/>
    </row>
    <row r="78" spans="1:67" s="517" customFormat="1" ht="109.9" customHeight="1" thickBot="1">
      <c r="A78" s="454">
        <v>67</v>
      </c>
      <c r="B78" s="933" t="str">
        <f>IF(基本情報入力シート!B106="","",基本情報入力シート!B106)</f>
        <v/>
      </c>
      <c r="C78" s="934"/>
      <c r="D78" s="934"/>
      <c r="E78" s="934"/>
      <c r="F78" s="935"/>
      <c r="G78" s="455" t="str">
        <f>IF(基本情報入力シート!L106="", "", 基本情報入力シート!L106)</f>
        <v/>
      </c>
      <c r="H78" s="455" t="str">
        <f>IF(基本情報入力シート!Q106="", "", 基本情報入力シート!Q106)</f>
        <v/>
      </c>
      <c r="I78" s="455" t="str">
        <f>IF(基本情報入力シート!V106="", "", 基本情報入力シート!V106)</f>
        <v/>
      </c>
      <c r="J78" s="455" t="str">
        <f>IF(基本情報入力シート!W106="", "", 基本情報入力シート!W106)</f>
        <v/>
      </c>
      <c r="K78" s="455" t="str">
        <f>IF(基本情報入力シート!Z106="", "", 基本情報入力シート!Z106)</f>
        <v/>
      </c>
      <c r="L78" s="101" t="str">
        <f>IF(基本情報入力シート!AF106=0, "",基本情報入力シート!AF106)</f>
        <v/>
      </c>
      <c r="M78" s="142" t="str">
        <f>IF(基本情報入力シート!AG106="","",基本情報入力シート!AG106)</f>
        <v/>
      </c>
      <c r="N78" s="136"/>
      <c r="O78" s="155" t="str">
        <f>IFERROR(VLOOKUP(K78,【参考】数式用!$A$2:$F$57,MATCH(N78,【参考】数式用!$C$3:$F$3,0)+2,0),"")</f>
        <v/>
      </c>
      <c r="P78" s="456" t="s">
        <v>180</v>
      </c>
      <c r="Q78" s="141"/>
      <c r="R78" s="457" t="s">
        <v>271</v>
      </c>
      <c r="S78" s="141"/>
      <c r="T78" s="457" t="s">
        <v>272</v>
      </c>
      <c r="U78" s="141"/>
      <c r="V78" s="457" t="s">
        <v>271</v>
      </c>
      <c r="W78" s="141"/>
      <c r="X78" s="457" t="s">
        <v>273</v>
      </c>
      <c r="Y78" s="457" t="s">
        <v>274</v>
      </c>
      <c r="Z78" s="457" t="str">
        <f t="shared" si="16"/>
        <v/>
      </c>
      <c r="AA78" s="458" t="s">
        <v>275</v>
      </c>
      <c r="AB78" s="459" t="str">
        <f t="shared" si="23"/>
        <v/>
      </c>
      <c r="AC78" s="460" t="str">
        <f>IFERROR(ROUNDDOWN(ROUNDDOWN(ROUND(L78*VLOOKUP(K78,【参考】数式用!$A$4:$F$57,MATCH("処遇改善加算Ⅳ",【参考】数式用!$C$3:$F$3,0)+2,0),0)*M78,0)*Z78*0.5,0), "")</f>
        <v/>
      </c>
      <c r="AD78" s="156"/>
      <c r="AE78" s="157"/>
      <c r="AF78" s="157"/>
      <c r="AG78" s="158"/>
      <c r="AH78" s="159"/>
      <c r="AI78" s="161"/>
      <c r="AJ78" s="161"/>
      <c r="AK78" s="542" t="str">
        <f t="shared" ref="AK78:AK111" si="37">IF(AND(N78&lt;&gt;"", OR(U78&lt;&gt;8,W78&lt;&gt;5)),"！算定期間の終わりが令和８年５月になっていません。令和８年６月以降については別シートに記載してください。",
 IF(AND(AN78="加算対象外",N78&lt;&gt;""),"このサービスは、令和８年４月・５月は処遇改善加算の対象ではありません。記入しないでください。",""))</f>
        <v/>
      </c>
      <c r="AL78" s="543" t="str">
        <f t="shared" si="28"/>
        <v/>
      </c>
      <c r="AM78" s="544"/>
      <c r="AN78" s="548" t="str">
        <f>IFERROR(VLOOKUP(K78,【参考】数式用!$A$2:$N$57,14,FALSE),"")</f>
        <v/>
      </c>
      <c r="AO78" s="548" t="str">
        <f t="shared" si="29"/>
        <v/>
      </c>
      <c r="AP78" s="547" t="str">
        <f t="shared" si="30"/>
        <v/>
      </c>
      <c r="AQ78" s="547" t="str">
        <f t="shared" si="31"/>
        <v>入力済</v>
      </c>
      <c r="AR78" s="548" t="str">
        <f t="shared" si="32"/>
        <v/>
      </c>
      <c r="AS78" s="547" t="str">
        <f t="shared" si="33"/>
        <v>入力済</v>
      </c>
      <c r="AT78" s="547" t="str">
        <f t="shared" ref="AT78:AT111" si="38">IF(OR(N78="処遇改善加算Ⅰ",N78="処遇改善加算Ⅱ"),"対象","")</f>
        <v/>
      </c>
      <c r="AU78" s="547" t="str">
        <f t="shared" ref="AU78:AU111" si="39">IF(AND(AN78="加算対象",N78&lt;&gt;"処遇改善加算Ⅲ",N78&lt;&gt;"処遇改善加算Ⅳ", N78&lt;&gt;"", AT78&lt;&gt;"対象外"), 1,"")</f>
        <v/>
      </c>
      <c r="AV78" s="548" t="str">
        <f t="shared" ref="AV78:AV111" si="40">IF(AND(AU78=1, OR(AG78=0,AG78=""),AN78="加算対象"),"AH列に色付け","")</f>
        <v/>
      </c>
      <c r="AW78" s="548" t="str">
        <f t="shared" si="34"/>
        <v>入力済</v>
      </c>
      <c r="AX78" s="547" t="str">
        <f>IFERROR(VLOOKUP(K78,【参考】数式用!$AR$3:$AS$49,2, FALSE), "")</f>
        <v/>
      </c>
      <c r="AY78" s="548" t="str">
        <f t="shared" si="35"/>
        <v/>
      </c>
      <c r="AZ78" s="548" t="str">
        <f t="shared" ref="AZ78:AZ111" si="41">IF(AND(N78="処遇改善加算Ⅰ", AI78=""), "未入力","入力済")</f>
        <v>入力済</v>
      </c>
      <c r="BA78" s="547" t="str">
        <f>IFERROR(VLOOKUP(K78,【参考】数式用!$AX$3:$AY$56, 2, FALSE), "")</f>
        <v/>
      </c>
      <c r="BB78" s="548" t="str">
        <f t="shared" si="27"/>
        <v/>
      </c>
      <c r="BC78" s="648" t="str">
        <f t="shared" si="36"/>
        <v>入力済</v>
      </c>
      <c r="BD78" s="548" t="str">
        <f t="shared" ref="BD78:BD111" si="42">IF(BB78="AJ列に色付け","入力必要","")</f>
        <v/>
      </c>
      <c r="BE78" s="548" t="str">
        <f t="shared" ref="BE78:BE111" si="43">G78</f>
        <v/>
      </c>
      <c r="BF78" s="515"/>
      <c r="BG78" s="515"/>
      <c r="BH78" s="634" t="e">
        <f>VLOOKUP(K78,【参考】数式用!$A$2:$O$57,15,FALSE)</f>
        <v>#N/A</v>
      </c>
      <c r="BI78" s="515"/>
      <c r="BJ78" s="515"/>
      <c r="BK78" s="515"/>
      <c r="BL78" s="515"/>
      <c r="BM78" s="515"/>
      <c r="BN78" s="515"/>
      <c r="BO78" s="516"/>
    </row>
    <row r="79" spans="1:67" s="517" customFormat="1" ht="109.9" customHeight="1" thickBot="1">
      <c r="A79" s="454">
        <v>68</v>
      </c>
      <c r="B79" s="933" t="str">
        <f>IF(基本情報入力シート!B107="","",基本情報入力シート!B107)</f>
        <v/>
      </c>
      <c r="C79" s="934"/>
      <c r="D79" s="934"/>
      <c r="E79" s="934"/>
      <c r="F79" s="935"/>
      <c r="G79" s="455" t="str">
        <f>IF(基本情報入力シート!L107="", "", 基本情報入力シート!L107)</f>
        <v/>
      </c>
      <c r="H79" s="455" t="str">
        <f>IF(基本情報入力シート!Q107="", "", 基本情報入力シート!Q107)</f>
        <v/>
      </c>
      <c r="I79" s="455" t="str">
        <f>IF(基本情報入力シート!V107="", "", 基本情報入力シート!V107)</f>
        <v/>
      </c>
      <c r="J79" s="455" t="str">
        <f>IF(基本情報入力シート!W107="", "", 基本情報入力シート!W107)</f>
        <v/>
      </c>
      <c r="K79" s="455" t="str">
        <f>IF(基本情報入力シート!Z107="", "", 基本情報入力シート!Z107)</f>
        <v/>
      </c>
      <c r="L79" s="101" t="str">
        <f>IF(基本情報入力シート!AF107=0, "",基本情報入力シート!AF107)</f>
        <v/>
      </c>
      <c r="M79" s="142" t="str">
        <f>IF(基本情報入力シート!AG107="","",基本情報入力シート!AG107)</f>
        <v/>
      </c>
      <c r="N79" s="136"/>
      <c r="O79" s="155" t="str">
        <f>IFERROR(VLOOKUP(K79,【参考】数式用!$A$2:$F$57,MATCH(N79,【参考】数式用!$C$3:$F$3,0)+2,0),"")</f>
        <v/>
      </c>
      <c r="P79" s="456" t="s">
        <v>180</v>
      </c>
      <c r="Q79" s="141"/>
      <c r="R79" s="457" t="s">
        <v>271</v>
      </c>
      <c r="S79" s="141"/>
      <c r="T79" s="457" t="s">
        <v>272</v>
      </c>
      <c r="U79" s="141"/>
      <c r="V79" s="457" t="s">
        <v>271</v>
      </c>
      <c r="W79" s="141"/>
      <c r="X79" s="457" t="s">
        <v>182</v>
      </c>
      <c r="Y79" s="457" t="s">
        <v>274</v>
      </c>
      <c r="Z79" s="457" t="str">
        <f t="shared" ref="Z79:Z111" si="44">IF(Q79&gt;=1,(U79*12+W79)-(Q79*12+S79)+1,"")</f>
        <v/>
      </c>
      <c r="AA79" s="458" t="s">
        <v>275</v>
      </c>
      <c r="AB79" s="459" t="str">
        <f t="shared" ref="AB79:AB111" si="45">IFERROR(ROUNDDOWN(ROUND(L79*O79,0)*M79,0)*Z79,"")</f>
        <v/>
      </c>
      <c r="AC79" s="460" t="str">
        <f>IFERROR(ROUNDDOWN(ROUNDDOWN(ROUND(L79*VLOOKUP(K79,【参考】数式用!$A$4:$F$57,MATCH("処遇改善加算Ⅳ",【参考】数式用!$C$3:$F$3,0)+2,0),0)*M79,0)*Z79*0.5,0), "")</f>
        <v/>
      </c>
      <c r="AD79" s="156"/>
      <c r="AE79" s="157"/>
      <c r="AF79" s="157"/>
      <c r="AG79" s="158"/>
      <c r="AH79" s="159"/>
      <c r="AI79" s="161"/>
      <c r="AJ79" s="161"/>
      <c r="AK79" s="542" t="str">
        <f t="shared" si="37"/>
        <v/>
      </c>
      <c r="AL79" s="543" t="str">
        <f t="shared" si="28"/>
        <v/>
      </c>
      <c r="AM79" s="544"/>
      <c r="AN79" s="548" t="str">
        <f>IFERROR(VLOOKUP(K79,【参考】数式用!$A$2:$N$57,14,FALSE),"")</f>
        <v/>
      </c>
      <c r="AO79" s="548" t="str">
        <f t="shared" si="29"/>
        <v/>
      </c>
      <c r="AP79" s="547" t="str">
        <f t="shared" si="30"/>
        <v/>
      </c>
      <c r="AQ79" s="547" t="str">
        <f t="shared" si="31"/>
        <v>入力済</v>
      </c>
      <c r="AR79" s="548" t="str">
        <f t="shared" si="32"/>
        <v/>
      </c>
      <c r="AS79" s="547" t="str">
        <f t="shared" si="33"/>
        <v>入力済</v>
      </c>
      <c r="AT79" s="547" t="str">
        <f t="shared" si="38"/>
        <v/>
      </c>
      <c r="AU79" s="547" t="str">
        <f t="shared" si="39"/>
        <v/>
      </c>
      <c r="AV79" s="548" t="str">
        <f t="shared" si="40"/>
        <v/>
      </c>
      <c r="AW79" s="548" t="str">
        <f t="shared" si="34"/>
        <v>入力済</v>
      </c>
      <c r="AX79" s="547" t="str">
        <f>IFERROR(VLOOKUP(K79,【参考】数式用!$AR$3:$AS$49,2, FALSE), "")</f>
        <v/>
      </c>
      <c r="AY79" s="548" t="str">
        <f t="shared" si="35"/>
        <v/>
      </c>
      <c r="AZ79" s="548" t="str">
        <f t="shared" si="41"/>
        <v>入力済</v>
      </c>
      <c r="BA79" s="547" t="str">
        <f>IFERROR(VLOOKUP(K79,【参考】数式用!$AX$3:$AY$56, 2, FALSE), "")</f>
        <v/>
      </c>
      <c r="BB79" s="548" t="str">
        <f t="shared" si="27"/>
        <v/>
      </c>
      <c r="BC79" s="648" t="str">
        <f t="shared" si="36"/>
        <v>入力済</v>
      </c>
      <c r="BD79" s="548" t="str">
        <f t="shared" si="42"/>
        <v/>
      </c>
      <c r="BE79" s="548" t="str">
        <f t="shared" si="43"/>
        <v/>
      </c>
      <c r="BF79" s="515"/>
      <c r="BG79" s="515"/>
      <c r="BH79" s="634" t="e">
        <f>VLOOKUP(K79,【参考】数式用!$A$2:$O$57,15,FALSE)</f>
        <v>#N/A</v>
      </c>
      <c r="BI79" s="515"/>
      <c r="BJ79" s="515"/>
      <c r="BK79" s="515"/>
      <c r="BL79" s="515"/>
      <c r="BM79" s="515"/>
      <c r="BN79" s="515"/>
      <c r="BO79" s="516"/>
    </row>
    <row r="80" spans="1:67" s="517" customFormat="1" ht="109.9" customHeight="1" thickBot="1">
      <c r="A80" s="454">
        <v>69</v>
      </c>
      <c r="B80" s="933" t="str">
        <f>IF(基本情報入力シート!B108="","",基本情報入力シート!B108)</f>
        <v/>
      </c>
      <c r="C80" s="934"/>
      <c r="D80" s="934"/>
      <c r="E80" s="934"/>
      <c r="F80" s="935"/>
      <c r="G80" s="455" t="str">
        <f>IF(基本情報入力シート!L108="", "", 基本情報入力シート!L108)</f>
        <v/>
      </c>
      <c r="H80" s="455" t="str">
        <f>IF(基本情報入力シート!Q108="", "", 基本情報入力シート!Q108)</f>
        <v/>
      </c>
      <c r="I80" s="455" t="str">
        <f>IF(基本情報入力シート!V108="", "", 基本情報入力シート!V108)</f>
        <v/>
      </c>
      <c r="J80" s="455" t="str">
        <f>IF(基本情報入力シート!W108="", "", 基本情報入力シート!W108)</f>
        <v/>
      </c>
      <c r="K80" s="455" t="str">
        <f>IF(基本情報入力シート!Z108="", "", 基本情報入力シート!Z108)</f>
        <v/>
      </c>
      <c r="L80" s="101" t="str">
        <f>IF(基本情報入力シート!AF108=0, "",基本情報入力シート!AF108)</f>
        <v/>
      </c>
      <c r="M80" s="142" t="str">
        <f>IF(基本情報入力シート!AG108="","",基本情報入力シート!AG108)</f>
        <v/>
      </c>
      <c r="N80" s="136"/>
      <c r="O80" s="155" t="str">
        <f>IFERROR(VLOOKUP(K80,【参考】数式用!$A$2:$F$57,MATCH(N80,【参考】数式用!$C$3:$F$3,0)+2,0),"")</f>
        <v/>
      </c>
      <c r="P80" s="456" t="s">
        <v>180</v>
      </c>
      <c r="Q80" s="141"/>
      <c r="R80" s="457" t="s">
        <v>271</v>
      </c>
      <c r="S80" s="141"/>
      <c r="T80" s="457" t="s">
        <v>272</v>
      </c>
      <c r="U80" s="141"/>
      <c r="V80" s="457" t="s">
        <v>271</v>
      </c>
      <c r="W80" s="141"/>
      <c r="X80" s="457" t="s">
        <v>182</v>
      </c>
      <c r="Y80" s="457" t="s">
        <v>274</v>
      </c>
      <c r="Z80" s="457" t="str">
        <f t="shared" si="44"/>
        <v/>
      </c>
      <c r="AA80" s="458" t="s">
        <v>275</v>
      </c>
      <c r="AB80" s="459" t="str">
        <f t="shared" si="45"/>
        <v/>
      </c>
      <c r="AC80" s="460" t="str">
        <f>IFERROR(ROUNDDOWN(ROUNDDOWN(ROUND(L80*VLOOKUP(K80,【参考】数式用!$A$4:$F$57,MATCH("処遇改善加算Ⅳ",【参考】数式用!$C$3:$F$3,0)+2,0),0)*M80,0)*Z80*0.5,0), "")</f>
        <v/>
      </c>
      <c r="AD80" s="156"/>
      <c r="AE80" s="157"/>
      <c r="AF80" s="157"/>
      <c r="AG80" s="158"/>
      <c r="AH80" s="159"/>
      <c r="AI80" s="161"/>
      <c r="AJ80" s="161"/>
      <c r="AK80" s="542" t="str">
        <f t="shared" si="37"/>
        <v/>
      </c>
      <c r="AL80" s="543" t="str">
        <f t="shared" si="28"/>
        <v/>
      </c>
      <c r="AM80" s="544"/>
      <c r="AN80" s="548" t="str">
        <f>IFERROR(VLOOKUP(K80,【参考】数式用!$A$2:$N$57,14,FALSE),"")</f>
        <v/>
      </c>
      <c r="AO80" s="548" t="str">
        <f t="shared" si="29"/>
        <v/>
      </c>
      <c r="AP80" s="547" t="str">
        <f t="shared" si="30"/>
        <v/>
      </c>
      <c r="AQ80" s="547" t="str">
        <f t="shared" si="31"/>
        <v>入力済</v>
      </c>
      <c r="AR80" s="548" t="str">
        <f t="shared" si="32"/>
        <v/>
      </c>
      <c r="AS80" s="547" t="str">
        <f t="shared" si="33"/>
        <v>入力済</v>
      </c>
      <c r="AT80" s="547" t="str">
        <f t="shared" si="38"/>
        <v/>
      </c>
      <c r="AU80" s="547" t="str">
        <f t="shared" si="39"/>
        <v/>
      </c>
      <c r="AV80" s="548" t="str">
        <f t="shared" si="40"/>
        <v/>
      </c>
      <c r="AW80" s="548" t="str">
        <f t="shared" si="34"/>
        <v>入力済</v>
      </c>
      <c r="AX80" s="547" t="str">
        <f>IFERROR(VLOOKUP(K80,【参考】数式用!$AR$3:$AS$49,2, FALSE), "")</f>
        <v/>
      </c>
      <c r="AY80" s="548" t="str">
        <f t="shared" si="35"/>
        <v/>
      </c>
      <c r="AZ80" s="548" t="str">
        <f t="shared" si="41"/>
        <v>入力済</v>
      </c>
      <c r="BA80" s="547" t="str">
        <f>IFERROR(VLOOKUP(K80,【参考】数式用!$AX$3:$AY$56, 2, FALSE), "")</f>
        <v/>
      </c>
      <c r="BB80" s="548" t="str">
        <f t="shared" si="27"/>
        <v/>
      </c>
      <c r="BC80" s="648" t="str">
        <f t="shared" si="36"/>
        <v>入力済</v>
      </c>
      <c r="BD80" s="548" t="str">
        <f t="shared" si="42"/>
        <v/>
      </c>
      <c r="BE80" s="548" t="str">
        <f t="shared" si="43"/>
        <v/>
      </c>
      <c r="BF80" s="515"/>
      <c r="BG80" s="515"/>
      <c r="BH80" s="634" t="e">
        <f>VLOOKUP(K80,【参考】数式用!$A$2:$O$57,15,FALSE)</f>
        <v>#N/A</v>
      </c>
      <c r="BI80" s="515"/>
      <c r="BJ80" s="515"/>
      <c r="BK80" s="515"/>
      <c r="BL80" s="515"/>
      <c r="BM80" s="515"/>
      <c r="BN80" s="515"/>
      <c r="BO80" s="516"/>
    </row>
    <row r="81" spans="1:67" s="517" customFormat="1" ht="109.9" customHeight="1" thickBot="1">
      <c r="A81" s="454">
        <v>70</v>
      </c>
      <c r="B81" s="933" t="str">
        <f>IF(基本情報入力シート!B109="","",基本情報入力シート!B109)</f>
        <v/>
      </c>
      <c r="C81" s="934"/>
      <c r="D81" s="934"/>
      <c r="E81" s="934"/>
      <c r="F81" s="935"/>
      <c r="G81" s="455" t="str">
        <f>IF(基本情報入力シート!L109="", "", 基本情報入力シート!L109)</f>
        <v/>
      </c>
      <c r="H81" s="455" t="str">
        <f>IF(基本情報入力シート!Q109="", "", 基本情報入力シート!Q109)</f>
        <v/>
      </c>
      <c r="I81" s="455" t="str">
        <f>IF(基本情報入力シート!V109="", "", 基本情報入力シート!V109)</f>
        <v/>
      </c>
      <c r="J81" s="455" t="str">
        <f>IF(基本情報入力シート!W109="", "", 基本情報入力シート!W109)</f>
        <v/>
      </c>
      <c r="K81" s="455" t="str">
        <f>IF(基本情報入力シート!Z109="", "", 基本情報入力シート!Z109)</f>
        <v/>
      </c>
      <c r="L81" s="101" t="str">
        <f>IF(基本情報入力シート!AF109=0, "",基本情報入力シート!AF109)</f>
        <v/>
      </c>
      <c r="M81" s="142" t="str">
        <f>IF(基本情報入力シート!AG109="","",基本情報入力シート!AG109)</f>
        <v/>
      </c>
      <c r="N81" s="136"/>
      <c r="O81" s="155" t="str">
        <f>IFERROR(VLOOKUP(K81,【参考】数式用!$A$2:$F$57,MATCH(N81,【参考】数式用!$C$3:$F$3,0)+2,0),"")</f>
        <v/>
      </c>
      <c r="P81" s="456" t="s">
        <v>180</v>
      </c>
      <c r="Q81" s="141"/>
      <c r="R81" s="457" t="s">
        <v>271</v>
      </c>
      <c r="S81" s="141"/>
      <c r="T81" s="457" t="s">
        <v>272</v>
      </c>
      <c r="U81" s="141"/>
      <c r="V81" s="457" t="s">
        <v>271</v>
      </c>
      <c r="W81" s="141"/>
      <c r="X81" s="457" t="s">
        <v>273</v>
      </c>
      <c r="Y81" s="457" t="s">
        <v>274</v>
      </c>
      <c r="Z81" s="457" t="str">
        <f t="shared" si="44"/>
        <v/>
      </c>
      <c r="AA81" s="458" t="s">
        <v>275</v>
      </c>
      <c r="AB81" s="459" t="str">
        <f t="shared" si="45"/>
        <v/>
      </c>
      <c r="AC81" s="460" t="str">
        <f>IFERROR(ROUNDDOWN(ROUNDDOWN(ROUND(L81*VLOOKUP(K81,【参考】数式用!$A$4:$F$57,MATCH("処遇改善加算Ⅳ",【参考】数式用!$C$3:$F$3,0)+2,0),0)*M81,0)*Z81*0.5,0), "")</f>
        <v/>
      </c>
      <c r="AD81" s="156"/>
      <c r="AE81" s="157"/>
      <c r="AF81" s="157"/>
      <c r="AG81" s="158"/>
      <c r="AH81" s="159"/>
      <c r="AI81" s="161"/>
      <c r="AJ81" s="161"/>
      <c r="AK81" s="542" t="str">
        <f t="shared" si="37"/>
        <v/>
      </c>
      <c r="AL81" s="543" t="str">
        <f t="shared" si="28"/>
        <v/>
      </c>
      <c r="AM81" s="544"/>
      <c r="AN81" s="548" t="str">
        <f>IFERROR(VLOOKUP(K81,【参考】数式用!$A$2:$N$57,14,FALSE),"")</f>
        <v/>
      </c>
      <c r="AO81" s="548" t="str">
        <f t="shared" si="29"/>
        <v/>
      </c>
      <c r="AP81" s="547" t="str">
        <f t="shared" si="30"/>
        <v/>
      </c>
      <c r="AQ81" s="547" t="str">
        <f t="shared" si="31"/>
        <v>入力済</v>
      </c>
      <c r="AR81" s="548" t="str">
        <f t="shared" si="32"/>
        <v/>
      </c>
      <c r="AS81" s="547" t="str">
        <f t="shared" si="33"/>
        <v>入力済</v>
      </c>
      <c r="AT81" s="547" t="str">
        <f t="shared" si="38"/>
        <v/>
      </c>
      <c r="AU81" s="547" t="str">
        <f t="shared" si="39"/>
        <v/>
      </c>
      <c r="AV81" s="548" t="str">
        <f t="shared" si="40"/>
        <v/>
      </c>
      <c r="AW81" s="548" t="str">
        <f t="shared" si="34"/>
        <v>入力済</v>
      </c>
      <c r="AX81" s="547" t="str">
        <f>IFERROR(VLOOKUP(K81,【参考】数式用!$AR$3:$AS$49,2, FALSE), "")</f>
        <v/>
      </c>
      <c r="AY81" s="548" t="str">
        <f t="shared" si="35"/>
        <v/>
      </c>
      <c r="AZ81" s="548" t="str">
        <f t="shared" si="41"/>
        <v>入力済</v>
      </c>
      <c r="BA81" s="547" t="str">
        <f>IFERROR(VLOOKUP(K81,【参考】数式用!$AX$3:$AY$56, 2, FALSE), "")</f>
        <v/>
      </c>
      <c r="BB81" s="548" t="str">
        <f t="shared" si="27"/>
        <v/>
      </c>
      <c r="BC81" s="648" t="str">
        <f t="shared" si="36"/>
        <v>入力済</v>
      </c>
      <c r="BD81" s="548" t="str">
        <f t="shared" si="42"/>
        <v/>
      </c>
      <c r="BE81" s="548" t="str">
        <f t="shared" si="43"/>
        <v/>
      </c>
      <c r="BF81" s="515"/>
      <c r="BG81" s="515"/>
      <c r="BH81" s="634" t="e">
        <f>VLOOKUP(K81,【参考】数式用!$A$2:$O$57,15,FALSE)</f>
        <v>#N/A</v>
      </c>
      <c r="BI81" s="515"/>
      <c r="BJ81" s="515"/>
      <c r="BK81" s="515"/>
      <c r="BL81" s="515"/>
      <c r="BM81" s="515"/>
      <c r="BN81" s="515"/>
      <c r="BO81" s="516"/>
    </row>
    <row r="82" spans="1:67" s="517" customFormat="1" ht="109.9" customHeight="1" thickBot="1">
      <c r="A82" s="454">
        <v>71</v>
      </c>
      <c r="B82" s="933" t="str">
        <f>IF(基本情報入力シート!B110="","",基本情報入力シート!B110)</f>
        <v/>
      </c>
      <c r="C82" s="934"/>
      <c r="D82" s="934"/>
      <c r="E82" s="934"/>
      <c r="F82" s="935"/>
      <c r="G82" s="455" t="str">
        <f>IF(基本情報入力シート!L110="", "", 基本情報入力シート!L110)</f>
        <v/>
      </c>
      <c r="H82" s="455" t="str">
        <f>IF(基本情報入力シート!Q110="", "", 基本情報入力シート!Q110)</f>
        <v/>
      </c>
      <c r="I82" s="455" t="str">
        <f>IF(基本情報入力シート!V110="", "", 基本情報入力シート!V110)</f>
        <v/>
      </c>
      <c r="J82" s="455" t="str">
        <f>IF(基本情報入力シート!W110="", "", 基本情報入力シート!W110)</f>
        <v/>
      </c>
      <c r="K82" s="455" t="str">
        <f>IF(基本情報入力シート!Z110="", "", 基本情報入力シート!Z110)</f>
        <v/>
      </c>
      <c r="L82" s="101" t="str">
        <f>IF(基本情報入力シート!AF110=0, "",基本情報入力シート!AF110)</f>
        <v/>
      </c>
      <c r="M82" s="142" t="str">
        <f>IF(基本情報入力シート!AG110="","",基本情報入力シート!AG110)</f>
        <v/>
      </c>
      <c r="N82" s="136"/>
      <c r="O82" s="155" t="str">
        <f>IFERROR(VLOOKUP(K82,【参考】数式用!$A$2:$F$57,MATCH(N82,【参考】数式用!$C$3:$F$3,0)+2,0),"")</f>
        <v/>
      </c>
      <c r="P82" s="456" t="s">
        <v>180</v>
      </c>
      <c r="Q82" s="141"/>
      <c r="R82" s="457" t="s">
        <v>271</v>
      </c>
      <c r="S82" s="141"/>
      <c r="T82" s="457" t="s">
        <v>272</v>
      </c>
      <c r="U82" s="141"/>
      <c r="V82" s="457" t="s">
        <v>271</v>
      </c>
      <c r="W82" s="141"/>
      <c r="X82" s="457" t="s">
        <v>273</v>
      </c>
      <c r="Y82" s="457" t="s">
        <v>274</v>
      </c>
      <c r="Z82" s="457" t="str">
        <f t="shared" si="44"/>
        <v/>
      </c>
      <c r="AA82" s="458" t="s">
        <v>275</v>
      </c>
      <c r="AB82" s="459" t="str">
        <f t="shared" si="45"/>
        <v/>
      </c>
      <c r="AC82" s="460" t="str">
        <f>IFERROR(ROUNDDOWN(ROUNDDOWN(ROUND(L82*VLOOKUP(K82,【参考】数式用!$A$4:$F$57,MATCH("処遇改善加算Ⅳ",【参考】数式用!$C$3:$F$3,0)+2,0),0)*M82,0)*Z82*0.5,0), "")</f>
        <v/>
      </c>
      <c r="AD82" s="156"/>
      <c r="AE82" s="157"/>
      <c r="AF82" s="157"/>
      <c r="AG82" s="158"/>
      <c r="AH82" s="159"/>
      <c r="AI82" s="161"/>
      <c r="AJ82" s="161"/>
      <c r="AK82" s="542" t="str">
        <f t="shared" si="37"/>
        <v/>
      </c>
      <c r="AL82" s="543" t="str">
        <f t="shared" si="28"/>
        <v/>
      </c>
      <c r="AM82" s="544"/>
      <c r="AN82" s="548" t="str">
        <f>IFERROR(VLOOKUP(K82,【参考】数式用!$A$2:$N$57,14,FALSE),"")</f>
        <v/>
      </c>
      <c r="AO82" s="548" t="str">
        <f t="shared" si="29"/>
        <v/>
      </c>
      <c r="AP82" s="547" t="str">
        <f t="shared" si="30"/>
        <v/>
      </c>
      <c r="AQ82" s="547" t="str">
        <f t="shared" si="31"/>
        <v>入力済</v>
      </c>
      <c r="AR82" s="548" t="str">
        <f t="shared" si="32"/>
        <v/>
      </c>
      <c r="AS82" s="547" t="str">
        <f t="shared" si="33"/>
        <v>入力済</v>
      </c>
      <c r="AT82" s="547" t="str">
        <f t="shared" si="38"/>
        <v/>
      </c>
      <c r="AU82" s="547" t="str">
        <f t="shared" si="39"/>
        <v/>
      </c>
      <c r="AV82" s="548" t="str">
        <f t="shared" si="40"/>
        <v/>
      </c>
      <c r="AW82" s="548" t="str">
        <f t="shared" si="34"/>
        <v>入力済</v>
      </c>
      <c r="AX82" s="547" t="str">
        <f>IFERROR(VLOOKUP(K82,【参考】数式用!$AR$3:$AS$49,2, FALSE), "")</f>
        <v/>
      </c>
      <c r="AY82" s="548" t="str">
        <f t="shared" si="35"/>
        <v/>
      </c>
      <c r="AZ82" s="548" t="str">
        <f t="shared" si="41"/>
        <v>入力済</v>
      </c>
      <c r="BA82" s="547" t="str">
        <f>IFERROR(VLOOKUP(K82,【参考】数式用!$AX$3:$AY$56, 2, FALSE), "")</f>
        <v/>
      </c>
      <c r="BB82" s="548" t="str">
        <f t="shared" si="27"/>
        <v/>
      </c>
      <c r="BC82" s="648" t="str">
        <f t="shared" si="36"/>
        <v>入力済</v>
      </c>
      <c r="BD82" s="548" t="str">
        <f t="shared" si="42"/>
        <v/>
      </c>
      <c r="BE82" s="548" t="str">
        <f t="shared" si="43"/>
        <v/>
      </c>
      <c r="BF82" s="515"/>
      <c r="BG82" s="515"/>
      <c r="BH82" s="634" t="e">
        <f>VLOOKUP(K82,【参考】数式用!$A$2:$O$57,15,FALSE)</f>
        <v>#N/A</v>
      </c>
      <c r="BI82" s="515"/>
      <c r="BJ82" s="515"/>
      <c r="BK82" s="515"/>
      <c r="BL82" s="515"/>
      <c r="BM82" s="515"/>
      <c r="BN82" s="515"/>
      <c r="BO82" s="516"/>
    </row>
    <row r="83" spans="1:67" s="517" customFormat="1" ht="109.9" customHeight="1" thickBot="1">
      <c r="A83" s="454">
        <v>72</v>
      </c>
      <c r="B83" s="933" t="str">
        <f>IF(基本情報入力シート!B111="","",基本情報入力シート!B111)</f>
        <v/>
      </c>
      <c r="C83" s="934"/>
      <c r="D83" s="934"/>
      <c r="E83" s="934"/>
      <c r="F83" s="935"/>
      <c r="G83" s="455" t="str">
        <f>IF(基本情報入力シート!L111="", "", 基本情報入力シート!L111)</f>
        <v/>
      </c>
      <c r="H83" s="455" t="str">
        <f>IF(基本情報入力シート!Q111="", "", 基本情報入力シート!Q111)</f>
        <v/>
      </c>
      <c r="I83" s="455" t="str">
        <f>IF(基本情報入力シート!V111="", "", 基本情報入力シート!V111)</f>
        <v/>
      </c>
      <c r="J83" s="455" t="str">
        <f>IF(基本情報入力シート!W111="", "", 基本情報入力シート!W111)</f>
        <v/>
      </c>
      <c r="K83" s="455" t="str">
        <f>IF(基本情報入力シート!Z111="", "", 基本情報入力シート!Z111)</f>
        <v/>
      </c>
      <c r="L83" s="101" t="str">
        <f>IF(基本情報入力シート!AF111=0, "",基本情報入力シート!AF111)</f>
        <v/>
      </c>
      <c r="M83" s="142" t="str">
        <f>IF(基本情報入力シート!AG111="","",基本情報入力シート!AG111)</f>
        <v/>
      </c>
      <c r="N83" s="136"/>
      <c r="O83" s="155" t="str">
        <f>IFERROR(VLOOKUP(K83,【参考】数式用!$A$2:$F$57,MATCH(N83,【参考】数式用!$C$3:$F$3,0)+2,0),"")</f>
        <v/>
      </c>
      <c r="P83" s="456" t="s">
        <v>180</v>
      </c>
      <c r="Q83" s="141"/>
      <c r="R83" s="457" t="s">
        <v>271</v>
      </c>
      <c r="S83" s="141"/>
      <c r="T83" s="457" t="s">
        <v>272</v>
      </c>
      <c r="U83" s="141"/>
      <c r="V83" s="457" t="s">
        <v>271</v>
      </c>
      <c r="W83" s="141"/>
      <c r="X83" s="457" t="s">
        <v>273</v>
      </c>
      <c r="Y83" s="457" t="s">
        <v>274</v>
      </c>
      <c r="Z83" s="457" t="str">
        <f t="shared" si="44"/>
        <v/>
      </c>
      <c r="AA83" s="458" t="s">
        <v>275</v>
      </c>
      <c r="AB83" s="459" t="str">
        <f t="shared" si="45"/>
        <v/>
      </c>
      <c r="AC83" s="460" t="str">
        <f>IFERROR(ROUNDDOWN(ROUNDDOWN(ROUND(L83*VLOOKUP(K83,【参考】数式用!$A$4:$F$57,MATCH("処遇改善加算Ⅳ",【参考】数式用!$C$3:$F$3,0)+2,0),0)*M83,0)*Z83*0.5,0), "")</f>
        <v/>
      </c>
      <c r="AD83" s="156"/>
      <c r="AE83" s="157"/>
      <c r="AF83" s="157"/>
      <c r="AG83" s="158"/>
      <c r="AH83" s="159"/>
      <c r="AI83" s="161"/>
      <c r="AJ83" s="161"/>
      <c r="AK83" s="542" t="str">
        <f t="shared" si="37"/>
        <v/>
      </c>
      <c r="AL83" s="543" t="str">
        <f t="shared" si="28"/>
        <v/>
      </c>
      <c r="AM83" s="544"/>
      <c r="AN83" s="548" t="str">
        <f>IFERROR(VLOOKUP(K83,【参考】数式用!$A$2:$N$57,14,FALSE),"")</f>
        <v/>
      </c>
      <c r="AO83" s="548" t="str">
        <f t="shared" si="29"/>
        <v/>
      </c>
      <c r="AP83" s="547" t="str">
        <f t="shared" si="30"/>
        <v/>
      </c>
      <c r="AQ83" s="547" t="str">
        <f t="shared" si="31"/>
        <v>入力済</v>
      </c>
      <c r="AR83" s="548" t="str">
        <f t="shared" si="32"/>
        <v/>
      </c>
      <c r="AS83" s="547" t="str">
        <f t="shared" si="33"/>
        <v>入力済</v>
      </c>
      <c r="AT83" s="547" t="str">
        <f t="shared" si="38"/>
        <v/>
      </c>
      <c r="AU83" s="547" t="str">
        <f t="shared" si="39"/>
        <v/>
      </c>
      <c r="AV83" s="548" t="str">
        <f t="shared" si="40"/>
        <v/>
      </c>
      <c r="AW83" s="548" t="str">
        <f t="shared" si="34"/>
        <v>入力済</v>
      </c>
      <c r="AX83" s="547" t="str">
        <f>IFERROR(VLOOKUP(K83,【参考】数式用!$AR$3:$AS$49,2, FALSE), "")</f>
        <v/>
      </c>
      <c r="AY83" s="548" t="str">
        <f t="shared" si="35"/>
        <v/>
      </c>
      <c r="AZ83" s="548" t="str">
        <f t="shared" si="41"/>
        <v>入力済</v>
      </c>
      <c r="BA83" s="547" t="str">
        <f>IFERROR(VLOOKUP(K83,【参考】数式用!$AX$3:$AY$56, 2, FALSE), "")</f>
        <v/>
      </c>
      <c r="BB83" s="548" t="str">
        <f t="shared" si="27"/>
        <v/>
      </c>
      <c r="BC83" s="648" t="str">
        <f t="shared" si="36"/>
        <v>入力済</v>
      </c>
      <c r="BD83" s="548" t="str">
        <f t="shared" si="42"/>
        <v/>
      </c>
      <c r="BE83" s="548" t="str">
        <f t="shared" si="43"/>
        <v/>
      </c>
      <c r="BF83" s="515"/>
      <c r="BG83" s="515"/>
      <c r="BH83" s="634" t="e">
        <f>VLOOKUP(K83,【参考】数式用!$A$2:$O$57,15,FALSE)</f>
        <v>#N/A</v>
      </c>
      <c r="BI83" s="515"/>
      <c r="BJ83" s="515"/>
      <c r="BK83" s="515"/>
      <c r="BL83" s="515"/>
      <c r="BM83" s="515"/>
      <c r="BN83" s="515"/>
      <c r="BO83" s="516"/>
    </row>
    <row r="84" spans="1:67" s="517" customFormat="1" ht="109.9" customHeight="1" thickBot="1">
      <c r="A84" s="454">
        <v>73</v>
      </c>
      <c r="B84" s="933" t="str">
        <f>IF(基本情報入力シート!B112="","",基本情報入力シート!B112)</f>
        <v/>
      </c>
      <c r="C84" s="934"/>
      <c r="D84" s="934"/>
      <c r="E84" s="934"/>
      <c r="F84" s="935"/>
      <c r="G84" s="455" t="str">
        <f>IF(基本情報入力シート!L112="", "", 基本情報入力シート!L112)</f>
        <v/>
      </c>
      <c r="H84" s="455" t="str">
        <f>IF(基本情報入力シート!Q112="", "", 基本情報入力シート!Q112)</f>
        <v/>
      </c>
      <c r="I84" s="455" t="str">
        <f>IF(基本情報入力シート!V112="", "", 基本情報入力シート!V112)</f>
        <v/>
      </c>
      <c r="J84" s="455" t="str">
        <f>IF(基本情報入力シート!W112="", "", 基本情報入力シート!W112)</f>
        <v/>
      </c>
      <c r="K84" s="455" t="str">
        <f>IF(基本情報入力シート!Z112="", "", 基本情報入力シート!Z112)</f>
        <v/>
      </c>
      <c r="L84" s="101" t="str">
        <f>IF(基本情報入力シート!AF112=0, "",基本情報入力シート!AF112)</f>
        <v/>
      </c>
      <c r="M84" s="142" t="str">
        <f>IF(基本情報入力シート!AG112="","",基本情報入力シート!AG112)</f>
        <v/>
      </c>
      <c r="N84" s="136"/>
      <c r="O84" s="155" t="str">
        <f>IFERROR(VLOOKUP(K84,【参考】数式用!$A$2:$F$57,MATCH(N84,【参考】数式用!$C$3:$F$3,0)+2,0),"")</f>
        <v/>
      </c>
      <c r="P84" s="456" t="s">
        <v>180</v>
      </c>
      <c r="Q84" s="141"/>
      <c r="R84" s="457" t="s">
        <v>271</v>
      </c>
      <c r="S84" s="141"/>
      <c r="T84" s="457" t="s">
        <v>272</v>
      </c>
      <c r="U84" s="141"/>
      <c r="V84" s="457" t="s">
        <v>271</v>
      </c>
      <c r="W84" s="141"/>
      <c r="X84" s="457" t="s">
        <v>182</v>
      </c>
      <c r="Y84" s="457" t="s">
        <v>274</v>
      </c>
      <c r="Z84" s="457" t="str">
        <f t="shared" si="44"/>
        <v/>
      </c>
      <c r="AA84" s="458" t="s">
        <v>275</v>
      </c>
      <c r="AB84" s="459" t="str">
        <f t="shared" si="45"/>
        <v/>
      </c>
      <c r="AC84" s="460" t="str">
        <f>IFERROR(ROUNDDOWN(ROUNDDOWN(ROUND(L84*VLOOKUP(K84,【参考】数式用!$A$4:$F$57,MATCH("処遇改善加算Ⅳ",【参考】数式用!$C$3:$F$3,0)+2,0),0)*M84,0)*Z84*0.5,0), "")</f>
        <v/>
      </c>
      <c r="AD84" s="156"/>
      <c r="AE84" s="157"/>
      <c r="AF84" s="157"/>
      <c r="AG84" s="158"/>
      <c r="AH84" s="159"/>
      <c r="AI84" s="161"/>
      <c r="AJ84" s="161"/>
      <c r="AK84" s="542" t="str">
        <f t="shared" si="37"/>
        <v/>
      </c>
      <c r="AL84" s="543" t="str">
        <f t="shared" si="28"/>
        <v/>
      </c>
      <c r="AM84" s="544"/>
      <c r="AN84" s="548" t="str">
        <f>IFERROR(VLOOKUP(K84,【参考】数式用!$A$2:$N$57,14,FALSE),"")</f>
        <v/>
      </c>
      <c r="AO84" s="548" t="str">
        <f t="shared" si="29"/>
        <v/>
      </c>
      <c r="AP84" s="547" t="str">
        <f t="shared" si="30"/>
        <v/>
      </c>
      <c r="AQ84" s="547" t="str">
        <f t="shared" si="31"/>
        <v>入力済</v>
      </c>
      <c r="AR84" s="548" t="str">
        <f t="shared" si="32"/>
        <v/>
      </c>
      <c r="AS84" s="547" t="str">
        <f t="shared" si="33"/>
        <v>入力済</v>
      </c>
      <c r="AT84" s="547" t="str">
        <f t="shared" si="38"/>
        <v/>
      </c>
      <c r="AU84" s="547" t="str">
        <f t="shared" si="39"/>
        <v/>
      </c>
      <c r="AV84" s="548" t="str">
        <f t="shared" si="40"/>
        <v/>
      </c>
      <c r="AW84" s="548" t="str">
        <f t="shared" si="34"/>
        <v>入力済</v>
      </c>
      <c r="AX84" s="547" t="str">
        <f>IFERROR(VLOOKUP(K84,【参考】数式用!$AR$3:$AS$49,2, FALSE), "")</f>
        <v/>
      </c>
      <c r="AY84" s="548" t="str">
        <f t="shared" si="35"/>
        <v/>
      </c>
      <c r="AZ84" s="548" t="str">
        <f t="shared" si="41"/>
        <v>入力済</v>
      </c>
      <c r="BA84" s="547" t="str">
        <f>IFERROR(VLOOKUP(K84,【参考】数式用!$AX$3:$AY$56, 2, FALSE), "")</f>
        <v/>
      </c>
      <c r="BB84" s="548" t="str">
        <f t="shared" si="27"/>
        <v/>
      </c>
      <c r="BC84" s="648" t="str">
        <f t="shared" si="36"/>
        <v>入力済</v>
      </c>
      <c r="BD84" s="548" t="str">
        <f t="shared" si="42"/>
        <v/>
      </c>
      <c r="BE84" s="548" t="str">
        <f t="shared" si="43"/>
        <v/>
      </c>
      <c r="BF84" s="515"/>
      <c r="BG84" s="515"/>
      <c r="BH84" s="634" t="e">
        <f>VLOOKUP(K84,【参考】数式用!$A$2:$O$57,15,FALSE)</f>
        <v>#N/A</v>
      </c>
      <c r="BI84" s="515"/>
      <c r="BJ84" s="515"/>
      <c r="BK84" s="515"/>
      <c r="BL84" s="515"/>
      <c r="BM84" s="515"/>
      <c r="BN84" s="515"/>
      <c r="BO84" s="516"/>
    </row>
    <row r="85" spans="1:67" s="517" customFormat="1" ht="109.9" customHeight="1" thickBot="1">
      <c r="A85" s="454">
        <v>74</v>
      </c>
      <c r="B85" s="933" t="str">
        <f>IF(基本情報入力シート!B113="","",基本情報入力シート!B113)</f>
        <v/>
      </c>
      <c r="C85" s="934"/>
      <c r="D85" s="934"/>
      <c r="E85" s="934"/>
      <c r="F85" s="935"/>
      <c r="G85" s="455" t="str">
        <f>IF(基本情報入力シート!L113="", "", 基本情報入力シート!L113)</f>
        <v/>
      </c>
      <c r="H85" s="455" t="str">
        <f>IF(基本情報入力シート!Q113="", "", 基本情報入力シート!Q113)</f>
        <v/>
      </c>
      <c r="I85" s="455" t="str">
        <f>IF(基本情報入力シート!V113="", "", 基本情報入力シート!V113)</f>
        <v/>
      </c>
      <c r="J85" s="455" t="str">
        <f>IF(基本情報入力シート!W113="", "", 基本情報入力シート!W113)</f>
        <v/>
      </c>
      <c r="K85" s="455" t="str">
        <f>IF(基本情報入力シート!Z113="", "", 基本情報入力シート!Z113)</f>
        <v/>
      </c>
      <c r="L85" s="101" t="str">
        <f>IF(基本情報入力シート!AF113=0, "",基本情報入力シート!AF113)</f>
        <v/>
      </c>
      <c r="M85" s="142" t="str">
        <f>IF(基本情報入力シート!AG113="","",基本情報入力シート!AG113)</f>
        <v/>
      </c>
      <c r="N85" s="136"/>
      <c r="O85" s="155" t="str">
        <f>IFERROR(VLOOKUP(K85,【参考】数式用!$A$2:$F$57,MATCH(N85,【参考】数式用!$C$3:$F$3,0)+2,0),"")</f>
        <v/>
      </c>
      <c r="P85" s="456" t="s">
        <v>180</v>
      </c>
      <c r="Q85" s="141"/>
      <c r="R85" s="457" t="s">
        <v>271</v>
      </c>
      <c r="S85" s="141"/>
      <c r="T85" s="457" t="s">
        <v>272</v>
      </c>
      <c r="U85" s="141"/>
      <c r="V85" s="457" t="s">
        <v>271</v>
      </c>
      <c r="W85" s="141"/>
      <c r="X85" s="457" t="s">
        <v>273</v>
      </c>
      <c r="Y85" s="457" t="s">
        <v>274</v>
      </c>
      <c r="Z85" s="457" t="str">
        <f t="shared" si="44"/>
        <v/>
      </c>
      <c r="AA85" s="458" t="s">
        <v>275</v>
      </c>
      <c r="AB85" s="459" t="str">
        <f t="shared" si="45"/>
        <v/>
      </c>
      <c r="AC85" s="460" t="str">
        <f>IFERROR(ROUNDDOWN(ROUNDDOWN(ROUND(L85*VLOOKUP(K85,【参考】数式用!$A$4:$F$57,MATCH("処遇改善加算Ⅳ",【参考】数式用!$C$3:$F$3,0)+2,0),0)*M85,0)*Z85*0.5,0), "")</f>
        <v/>
      </c>
      <c r="AD85" s="156"/>
      <c r="AE85" s="157"/>
      <c r="AF85" s="157"/>
      <c r="AG85" s="158"/>
      <c r="AH85" s="159"/>
      <c r="AI85" s="161"/>
      <c r="AJ85" s="161"/>
      <c r="AK85" s="542" t="str">
        <f t="shared" si="37"/>
        <v/>
      </c>
      <c r="AL85" s="543" t="str">
        <f t="shared" si="28"/>
        <v/>
      </c>
      <c r="AM85" s="544"/>
      <c r="AN85" s="548" t="str">
        <f>IFERROR(VLOOKUP(K85,【参考】数式用!$A$2:$N$57,14,FALSE),"")</f>
        <v/>
      </c>
      <c r="AO85" s="548" t="str">
        <f t="shared" si="29"/>
        <v/>
      </c>
      <c r="AP85" s="547" t="str">
        <f t="shared" si="30"/>
        <v/>
      </c>
      <c r="AQ85" s="547" t="str">
        <f t="shared" si="31"/>
        <v>入力済</v>
      </c>
      <c r="AR85" s="548" t="str">
        <f t="shared" si="32"/>
        <v/>
      </c>
      <c r="AS85" s="547" t="str">
        <f t="shared" si="33"/>
        <v>入力済</v>
      </c>
      <c r="AT85" s="547" t="str">
        <f t="shared" si="38"/>
        <v/>
      </c>
      <c r="AU85" s="547" t="str">
        <f t="shared" si="39"/>
        <v/>
      </c>
      <c r="AV85" s="548" t="str">
        <f t="shared" si="40"/>
        <v/>
      </c>
      <c r="AW85" s="548" t="str">
        <f t="shared" si="34"/>
        <v>入力済</v>
      </c>
      <c r="AX85" s="547" t="str">
        <f>IFERROR(VLOOKUP(K85,【参考】数式用!$AR$3:$AS$49,2, FALSE), "")</f>
        <v/>
      </c>
      <c r="AY85" s="548" t="str">
        <f t="shared" si="35"/>
        <v/>
      </c>
      <c r="AZ85" s="548" t="str">
        <f t="shared" si="41"/>
        <v>入力済</v>
      </c>
      <c r="BA85" s="547" t="str">
        <f>IFERROR(VLOOKUP(K85,【参考】数式用!$AX$3:$AY$56, 2, FALSE), "")</f>
        <v/>
      </c>
      <c r="BB85" s="548" t="str">
        <f t="shared" si="27"/>
        <v/>
      </c>
      <c r="BC85" s="648" t="str">
        <f t="shared" si="36"/>
        <v>入力済</v>
      </c>
      <c r="BD85" s="548" t="str">
        <f t="shared" si="42"/>
        <v/>
      </c>
      <c r="BE85" s="548" t="str">
        <f t="shared" si="43"/>
        <v/>
      </c>
      <c r="BF85" s="515"/>
      <c r="BG85" s="515"/>
      <c r="BH85" s="634" t="e">
        <f>VLOOKUP(K85,【参考】数式用!$A$2:$O$57,15,FALSE)</f>
        <v>#N/A</v>
      </c>
      <c r="BI85" s="515"/>
      <c r="BJ85" s="515"/>
      <c r="BK85" s="515"/>
      <c r="BL85" s="515"/>
      <c r="BM85" s="515"/>
      <c r="BN85" s="515"/>
      <c r="BO85" s="516"/>
    </row>
    <row r="86" spans="1:67" s="517" customFormat="1" ht="109.9" customHeight="1" thickBot="1">
      <c r="A86" s="454">
        <v>75</v>
      </c>
      <c r="B86" s="933" t="str">
        <f>IF(基本情報入力シート!B114="","",基本情報入力シート!B114)</f>
        <v/>
      </c>
      <c r="C86" s="934"/>
      <c r="D86" s="934"/>
      <c r="E86" s="934"/>
      <c r="F86" s="935"/>
      <c r="G86" s="455" t="str">
        <f>IF(基本情報入力シート!L114="", "", 基本情報入力シート!L114)</f>
        <v/>
      </c>
      <c r="H86" s="455" t="str">
        <f>IF(基本情報入力シート!Q114="", "", 基本情報入力シート!Q114)</f>
        <v/>
      </c>
      <c r="I86" s="455" t="str">
        <f>IF(基本情報入力シート!V114="", "", 基本情報入力シート!V114)</f>
        <v/>
      </c>
      <c r="J86" s="455" t="str">
        <f>IF(基本情報入力シート!W114="", "", 基本情報入力シート!W114)</f>
        <v/>
      </c>
      <c r="K86" s="455" t="str">
        <f>IF(基本情報入力シート!Z114="", "", 基本情報入力シート!Z114)</f>
        <v/>
      </c>
      <c r="L86" s="101" t="str">
        <f>IF(基本情報入力シート!AF114=0, "",基本情報入力シート!AF114)</f>
        <v/>
      </c>
      <c r="M86" s="142" t="str">
        <f>IF(基本情報入力シート!AG114="","",基本情報入力シート!AG114)</f>
        <v/>
      </c>
      <c r="N86" s="136"/>
      <c r="O86" s="155" t="str">
        <f>IFERROR(VLOOKUP(K86,【参考】数式用!$A$2:$F$57,MATCH(N86,【参考】数式用!$C$3:$F$3,0)+2,0),"")</f>
        <v/>
      </c>
      <c r="P86" s="456" t="s">
        <v>180</v>
      </c>
      <c r="Q86" s="141"/>
      <c r="R86" s="457" t="s">
        <v>271</v>
      </c>
      <c r="S86" s="141"/>
      <c r="T86" s="457" t="s">
        <v>272</v>
      </c>
      <c r="U86" s="141"/>
      <c r="V86" s="457" t="s">
        <v>271</v>
      </c>
      <c r="W86" s="141"/>
      <c r="X86" s="457" t="s">
        <v>273</v>
      </c>
      <c r="Y86" s="457" t="s">
        <v>274</v>
      </c>
      <c r="Z86" s="457" t="str">
        <f t="shared" si="44"/>
        <v/>
      </c>
      <c r="AA86" s="458" t="s">
        <v>275</v>
      </c>
      <c r="AB86" s="459" t="str">
        <f t="shared" si="45"/>
        <v/>
      </c>
      <c r="AC86" s="460" t="str">
        <f>IFERROR(ROUNDDOWN(ROUNDDOWN(ROUND(L86*VLOOKUP(K86,【参考】数式用!$A$4:$F$57,MATCH("処遇改善加算Ⅳ",【参考】数式用!$C$3:$F$3,0)+2,0),0)*M86,0)*Z86*0.5,0), "")</f>
        <v/>
      </c>
      <c r="AD86" s="156"/>
      <c r="AE86" s="157"/>
      <c r="AF86" s="157"/>
      <c r="AG86" s="158"/>
      <c r="AH86" s="159"/>
      <c r="AI86" s="161"/>
      <c r="AJ86" s="161"/>
      <c r="AK86" s="542" t="str">
        <f t="shared" si="37"/>
        <v/>
      </c>
      <c r="AL86" s="543" t="str">
        <f t="shared" si="28"/>
        <v/>
      </c>
      <c r="AM86" s="544"/>
      <c r="AN86" s="548" t="str">
        <f>IFERROR(VLOOKUP(K86,【参考】数式用!$A$2:$N$57,14,FALSE),"")</f>
        <v/>
      </c>
      <c r="AO86" s="548" t="str">
        <f t="shared" si="29"/>
        <v/>
      </c>
      <c r="AP86" s="547" t="str">
        <f t="shared" si="30"/>
        <v/>
      </c>
      <c r="AQ86" s="547" t="str">
        <f t="shared" si="31"/>
        <v>入力済</v>
      </c>
      <c r="AR86" s="548" t="str">
        <f t="shared" si="32"/>
        <v/>
      </c>
      <c r="AS86" s="547" t="str">
        <f t="shared" si="33"/>
        <v>入力済</v>
      </c>
      <c r="AT86" s="547" t="str">
        <f t="shared" si="38"/>
        <v/>
      </c>
      <c r="AU86" s="547" t="str">
        <f t="shared" si="39"/>
        <v/>
      </c>
      <c r="AV86" s="548" t="str">
        <f t="shared" si="40"/>
        <v/>
      </c>
      <c r="AW86" s="548" t="str">
        <f t="shared" si="34"/>
        <v>入力済</v>
      </c>
      <c r="AX86" s="547" t="str">
        <f>IFERROR(VLOOKUP(K86,【参考】数式用!$AR$3:$AS$49,2, FALSE), "")</f>
        <v/>
      </c>
      <c r="AY86" s="548" t="str">
        <f t="shared" si="35"/>
        <v/>
      </c>
      <c r="AZ86" s="548" t="str">
        <f t="shared" si="41"/>
        <v>入力済</v>
      </c>
      <c r="BA86" s="547" t="str">
        <f>IFERROR(VLOOKUP(K86,【参考】数式用!$AX$3:$AY$56, 2, FALSE), "")</f>
        <v/>
      </c>
      <c r="BB86" s="548" t="str">
        <f t="shared" si="27"/>
        <v/>
      </c>
      <c r="BC86" s="648" t="str">
        <f t="shared" si="36"/>
        <v>入力済</v>
      </c>
      <c r="BD86" s="548" t="str">
        <f t="shared" si="42"/>
        <v/>
      </c>
      <c r="BE86" s="548" t="str">
        <f t="shared" si="43"/>
        <v/>
      </c>
      <c r="BF86" s="515"/>
      <c r="BG86" s="515"/>
      <c r="BH86" s="634" t="e">
        <f>VLOOKUP(K86,【参考】数式用!$A$2:$O$57,15,FALSE)</f>
        <v>#N/A</v>
      </c>
      <c r="BI86" s="515"/>
      <c r="BJ86" s="515"/>
      <c r="BK86" s="515"/>
      <c r="BL86" s="515"/>
      <c r="BM86" s="515"/>
      <c r="BN86" s="515"/>
      <c r="BO86" s="516"/>
    </row>
    <row r="87" spans="1:67" s="517" customFormat="1" ht="109.9" customHeight="1" thickBot="1">
      <c r="A87" s="454">
        <v>76</v>
      </c>
      <c r="B87" s="933" t="str">
        <f>IF(基本情報入力シート!B115="","",基本情報入力シート!B115)</f>
        <v/>
      </c>
      <c r="C87" s="934"/>
      <c r="D87" s="934"/>
      <c r="E87" s="934"/>
      <c r="F87" s="935"/>
      <c r="G87" s="455" t="str">
        <f>IF(基本情報入力シート!L115="", "", 基本情報入力シート!L115)</f>
        <v/>
      </c>
      <c r="H87" s="455" t="str">
        <f>IF(基本情報入力シート!Q115="", "", 基本情報入力シート!Q115)</f>
        <v/>
      </c>
      <c r="I87" s="455" t="str">
        <f>IF(基本情報入力シート!V115="", "", 基本情報入力シート!V115)</f>
        <v/>
      </c>
      <c r="J87" s="455" t="str">
        <f>IF(基本情報入力シート!W115="", "", 基本情報入力シート!W115)</f>
        <v/>
      </c>
      <c r="K87" s="455" t="str">
        <f>IF(基本情報入力シート!Z115="", "", 基本情報入力シート!Z115)</f>
        <v/>
      </c>
      <c r="L87" s="101" t="str">
        <f>IF(基本情報入力シート!AF115=0, "",基本情報入力シート!AF115)</f>
        <v/>
      </c>
      <c r="M87" s="142" t="str">
        <f>IF(基本情報入力シート!AG115="","",基本情報入力シート!AG115)</f>
        <v/>
      </c>
      <c r="N87" s="136"/>
      <c r="O87" s="155" t="str">
        <f>IFERROR(VLOOKUP(K87,【参考】数式用!$A$2:$F$57,MATCH(N87,【参考】数式用!$C$3:$F$3,0)+2,0),"")</f>
        <v/>
      </c>
      <c r="P87" s="456" t="s">
        <v>180</v>
      </c>
      <c r="Q87" s="141"/>
      <c r="R87" s="457" t="s">
        <v>271</v>
      </c>
      <c r="S87" s="141"/>
      <c r="T87" s="457" t="s">
        <v>272</v>
      </c>
      <c r="U87" s="141"/>
      <c r="V87" s="457" t="s">
        <v>271</v>
      </c>
      <c r="W87" s="141"/>
      <c r="X87" s="457" t="s">
        <v>273</v>
      </c>
      <c r="Y87" s="457" t="s">
        <v>274</v>
      </c>
      <c r="Z87" s="457" t="str">
        <f t="shared" si="44"/>
        <v/>
      </c>
      <c r="AA87" s="458" t="s">
        <v>275</v>
      </c>
      <c r="AB87" s="459" t="str">
        <f t="shared" si="45"/>
        <v/>
      </c>
      <c r="AC87" s="460" t="str">
        <f>IFERROR(ROUNDDOWN(ROUNDDOWN(ROUND(L87*VLOOKUP(K87,【参考】数式用!$A$4:$F$57,MATCH("処遇改善加算Ⅳ",【参考】数式用!$C$3:$F$3,0)+2,0),0)*M87,0)*Z87*0.5,0), "")</f>
        <v/>
      </c>
      <c r="AD87" s="156"/>
      <c r="AE87" s="157"/>
      <c r="AF87" s="157"/>
      <c r="AG87" s="158"/>
      <c r="AH87" s="159"/>
      <c r="AI87" s="161"/>
      <c r="AJ87" s="161"/>
      <c r="AK87" s="542" t="str">
        <f t="shared" si="37"/>
        <v/>
      </c>
      <c r="AL87" s="543" t="str">
        <f t="shared" si="28"/>
        <v/>
      </c>
      <c r="AM87" s="544"/>
      <c r="AN87" s="548" t="str">
        <f>IFERROR(VLOOKUP(K87,【参考】数式用!$A$2:$N$57,14,FALSE),"")</f>
        <v/>
      </c>
      <c r="AO87" s="548" t="str">
        <f t="shared" si="29"/>
        <v/>
      </c>
      <c r="AP87" s="547" t="str">
        <f t="shared" si="30"/>
        <v/>
      </c>
      <c r="AQ87" s="547" t="str">
        <f t="shared" si="31"/>
        <v>入力済</v>
      </c>
      <c r="AR87" s="548" t="str">
        <f t="shared" si="32"/>
        <v/>
      </c>
      <c r="AS87" s="547" t="str">
        <f t="shared" si="33"/>
        <v>入力済</v>
      </c>
      <c r="AT87" s="547" t="str">
        <f t="shared" si="38"/>
        <v/>
      </c>
      <c r="AU87" s="547" t="str">
        <f t="shared" si="39"/>
        <v/>
      </c>
      <c r="AV87" s="548" t="str">
        <f t="shared" si="40"/>
        <v/>
      </c>
      <c r="AW87" s="548" t="str">
        <f t="shared" si="34"/>
        <v>入力済</v>
      </c>
      <c r="AX87" s="547" t="str">
        <f>IFERROR(VLOOKUP(K87,【参考】数式用!$AR$3:$AS$49,2, FALSE), "")</f>
        <v/>
      </c>
      <c r="AY87" s="548" t="str">
        <f t="shared" si="35"/>
        <v/>
      </c>
      <c r="AZ87" s="548" t="str">
        <f t="shared" si="41"/>
        <v>入力済</v>
      </c>
      <c r="BA87" s="547" t="str">
        <f>IFERROR(VLOOKUP(K87,【参考】数式用!$AX$3:$AY$56, 2, FALSE), "")</f>
        <v/>
      </c>
      <c r="BB87" s="548" t="str">
        <f t="shared" si="27"/>
        <v/>
      </c>
      <c r="BC87" s="648" t="str">
        <f t="shared" si="36"/>
        <v>入力済</v>
      </c>
      <c r="BD87" s="548" t="str">
        <f t="shared" si="42"/>
        <v/>
      </c>
      <c r="BE87" s="548" t="str">
        <f t="shared" si="43"/>
        <v/>
      </c>
      <c r="BF87" s="515"/>
      <c r="BG87" s="515"/>
      <c r="BH87" s="634" t="e">
        <f>VLOOKUP(K87,【参考】数式用!$A$2:$O$57,15,FALSE)</f>
        <v>#N/A</v>
      </c>
      <c r="BI87" s="515"/>
      <c r="BJ87" s="515"/>
      <c r="BK87" s="515"/>
      <c r="BL87" s="515"/>
      <c r="BM87" s="515"/>
      <c r="BN87" s="515"/>
      <c r="BO87" s="516"/>
    </row>
    <row r="88" spans="1:67" s="517" customFormat="1" ht="109.9" customHeight="1" thickBot="1">
      <c r="A88" s="454">
        <v>77</v>
      </c>
      <c r="B88" s="933" t="str">
        <f>IF(基本情報入力シート!B116="","",基本情報入力シート!B116)</f>
        <v/>
      </c>
      <c r="C88" s="934"/>
      <c r="D88" s="934"/>
      <c r="E88" s="934"/>
      <c r="F88" s="935"/>
      <c r="G88" s="455" t="str">
        <f>IF(基本情報入力シート!L116="", "", 基本情報入力シート!L116)</f>
        <v/>
      </c>
      <c r="H88" s="455" t="str">
        <f>IF(基本情報入力シート!Q116="", "", 基本情報入力シート!Q116)</f>
        <v/>
      </c>
      <c r="I88" s="455" t="str">
        <f>IF(基本情報入力シート!V116="", "", 基本情報入力シート!V116)</f>
        <v/>
      </c>
      <c r="J88" s="455" t="str">
        <f>IF(基本情報入力シート!W116="", "", 基本情報入力シート!W116)</f>
        <v/>
      </c>
      <c r="K88" s="455" t="str">
        <f>IF(基本情報入力シート!Z116="", "", 基本情報入力シート!Z116)</f>
        <v/>
      </c>
      <c r="L88" s="101" t="str">
        <f>IF(基本情報入力シート!AF116=0, "",基本情報入力シート!AF116)</f>
        <v/>
      </c>
      <c r="M88" s="142" t="str">
        <f>IF(基本情報入力シート!AG116="","",基本情報入力シート!AG116)</f>
        <v/>
      </c>
      <c r="N88" s="136"/>
      <c r="O88" s="155" t="str">
        <f>IFERROR(VLOOKUP(K88,【参考】数式用!$A$2:$F$57,MATCH(N88,【参考】数式用!$C$3:$F$3,0)+2,0),"")</f>
        <v/>
      </c>
      <c r="P88" s="456" t="s">
        <v>180</v>
      </c>
      <c r="Q88" s="141"/>
      <c r="R88" s="457" t="s">
        <v>271</v>
      </c>
      <c r="S88" s="141"/>
      <c r="T88" s="457" t="s">
        <v>272</v>
      </c>
      <c r="U88" s="141"/>
      <c r="V88" s="457" t="s">
        <v>271</v>
      </c>
      <c r="W88" s="141"/>
      <c r="X88" s="457" t="s">
        <v>182</v>
      </c>
      <c r="Y88" s="457" t="s">
        <v>274</v>
      </c>
      <c r="Z88" s="457" t="str">
        <f t="shared" si="44"/>
        <v/>
      </c>
      <c r="AA88" s="458" t="s">
        <v>275</v>
      </c>
      <c r="AB88" s="459" t="str">
        <f t="shared" si="45"/>
        <v/>
      </c>
      <c r="AC88" s="460" t="str">
        <f>IFERROR(ROUNDDOWN(ROUNDDOWN(ROUND(L88*VLOOKUP(K88,【参考】数式用!$A$4:$F$57,MATCH("処遇改善加算Ⅳ",【参考】数式用!$C$3:$F$3,0)+2,0),0)*M88,0)*Z88*0.5,0), "")</f>
        <v/>
      </c>
      <c r="AD88" s="156"/>
      <c r="AE88" s="157"/>
      <c r="AF88" s="157"/>
      <c r="AG88" s="158"/>
      <c r="AH88" s="159"/>
      <c r="AI88" s="161"/>
      <c r="AJ88" s="161"/>
      <c r="AK88" s="542" t="str">
        <f t="shared" si="37"/>
        <v/>
      </c>
      <c r="AL88" s="543" t="str">
        <f t="shared" si="28"/>
        <v/>
      </c>
      <c r="AM88" s="544"/>
      <c r="AN88" s="548" t="str">
        <f>IFERROR(VLOOKUP(K88,【参考】数式用!$A$2:$N$57,14,FALSE),"")</f>
        <v/>
      </c>
      <c r="AO88" s="548" t="str">
        <f t="shared" si="29"/>
        <v/>
      </c>
      <c r="AP88" s="547" t="str">
        <f t="shared" si="30"/>
        <v/>
      </c>
      <c r="AQ88" s="547" t="str">
        <f t="shared" si="31"/>
        <v>入力済</v>
      </c>
      <c r="AR88" s="548" t="str">
        <f t="shared" si="32"/>
        <v/>
      </c>
      <c r="AS88" s="547" t="str">
        <f t="shared" si="33"/>
        <v>入力済</v>
      </c>
      <c r="AT88" s="547" t="str">
        <f t="shared" si="38"/>
        <v/>
      </c>
      <c r="AU88" s="547" t="str">
        <f t="shared" si="39"/>
        <v/>
      </c>
      <c r="AV88" s="548" t="str">
        <f t="shared" si="40"/>
        <v/>
      </c>
      <c r="AW88" s="548" t="str">
        <f t="shared" si="34"/>
        <v>入力済</v>
      </c>
      <c r="AX88" s="547" t="str">
        <f>IFERROR(VLOOKUP(K88,【参考】数式用!$AR$3:$AS$49,2, FALSE), "")</f>
        <v/>
      </c>
      <c r="AY88" s="548" t="str">
        <f t="shared" si="35"/>
        <v/>
      </c>
      <c r="AZ88" s="548" t="str">
        <f t="shared" si="41"/>
        <v>入力済</v>
      </c>
      <c r="BA88" s="547" t="str">
        <f>IFERROR(VLOOKUP(K88,【参考】数式用!$AX$3:$AY$56, 2, FALSE), "")</f>
        <v/>
      </c>
      <c r="BB88" s="548" t="str">
        <f t="shared" si="27"/>
        <v/>
      </c>
      <c r="BC88" s="648" t="str">
        <f t="shared" si="36"/>
        <v>入力済</v>
      </c>
      <c r="BD88" s="548" t="str">
        <f t="shared" si="42"/>
        <v/>
      </c>
      <c r="BE88" s="548" t="str">
        <f t="shared" si="43"/>
        <v/>
      </c>
      <c r="BF88" s="515"/>
      <c r="BG88" s="515"/>
      <c r="BH88" s="634" t="e">
        <f>VLOOKUP(K88,【参考】数式用!$A$2:$O$57,15,FALSE)</f>
        <v>#N/A</v>
      </c>
      <c r="BI88" s="515"/>
      <c r="BJ88" s="515"/>
      <c r="BK88" s="515"/>
      <c r="BL88" s="515"/>
      <c r="BM88" s="515"/>
      <c r="BN88" s="515"/>
      <c r="BO88" s="516"/>
    </row>
    <row r="89" spans="1:67" s="517" customFormat="1" ht="109.9" customHeight="1" thickBot="1">
      <c r="A89" s="454">
        <v>78</v>
      </c>
      <c r="B89" s="933" t="str">
        <f>IF(基本情報入力シート!B117="","",基本情報入力シート!B117)</f>
        <v/>
      </c>
      <c r="C89" s="934"/>
      <c r="D89" s="934"/>
      <c r="E89" s="934"/>
      <c r="F89" s="935"/>
      <c r="G89" s="455" t="str">
        <f>IF(基本情報入力シート!L117="", "", 基本情報入力シート!L117)</f>
        <v/>
      </c>
      <c r="H89" s="455" t="str">
        <f>IF(基本情報入力シート!Q117="", "", 基本情報入力シート!Q117)</f>
        <v/>
      </c>
      <c r="I89" s="455" t="str">
        <f>IF(基本情報入力シート!V117="", "", 基本情報入力シート!V117)</f>
        <v/>
      </c>
      <c r="J89" s="455" t="str">
        <f>IF(基本情報入力シート!W117="", "", 基本情報入力シート!W117)</f>
        <v/>
      </c>
      <c r="K89" s="455" t="str">
        <f>IF(基本情報入力シート!Z117="", "", 基本情報入力シート!Z117)</f>
        <v/>
      </c>
      <c r="L89" s="101" t="str">
        <f>IF(基本情報入力シート!AF117=0, "",基本情報入力シート!AF117)</f>
        <v/>
      </c>
      <c r="M89" s="142" t="str">
        <f>IF(基本情報入力シート!AG117="","",基本情報入力シート!AG117)</f>
        <v/>
      </c>
      <c r="N89" s="136"/>
      <c r="O89" s="155" t="str">
        <f>IFERROR(VLOOKUP(K89,【参考】数式用!$A$2:$F$57,MATCH(N89,【参考】数式用!$C$3:$F$3,0)+2,0),"")</f>
        <v/>
      </c>
      <c r="P89" s="456" t="s">
        <v>180</v>
      </c>
      <c r="Q89" s="141"/>
      <c r="R89" s="457" t="s">
        <v>271</v>
      </c>
      <c r="S89" s="141"/>
      <c r="T89" s="457" t="s">
        <v>272</v>
      </c>
      <c r="U89" s="141"/>
      <c r="V89" s="457" t="s">
        <v>271</v>
      </c>
      <c r="W89" s="141"/>
      <c r="X89" s="457" t="s">
        <v>182</v>
      </c>
      <c r="Y89" s="457" t="s">
        <v>274</v>
      </c>
      <c r="Z89" s="457" t="str">
        <f t="shared" si="44"/>
        <v/>
      </c>
      <c r="AA89" s="458" t="s">
        <v>275</v>
      </c>
      <c r="AB89" s="459" t="str">
        <f t="shared" si="45"/>
        <v/>
      </c>
      <c r="AC89" s="460" t="str">
        <f>IFERROR(ROUNDDOWN(ROUNDDOWN(ROUND(L89*VLOOKUP(K89,【参考】数式用!$A$4:$F$57,MATCH("処遇改善加算Ⅳ",【参考】数式用!$C$3:$F$3,0)+2,0),0)*M89,0)*Z89*0.5,0), "")</f>
        <v/>
      </c>
      <c r="AD89" s="156"/>
      <c r="AE89" s="157"/>
      <c r="AF89" s="157"/>
      <c r="AG89" s="158"/>
      <c r="AH89" s="159"/>
      <c r="AI89" s="161"/>
      <c r="AJ89" s="161"/>
      <c r="AK89" s="542" t="str">
        <f t="shared" si="37"/>
        <v/>
      </c>
      <c r="AL89" s="543" t="str">
        <f t="shared" si="28"/>
        <v/>
      </c>
      <c r="AM89" s="544"/>
      <c r="AN89" s="548" t="str">
        <f>IFERROR(VLOOKUP(K89,【参考】数式用!$A$2:$N$57,14,FALSE),"")</f>
        <v/>
      </c>
      <c r="AO89" s="548" t="str">
        <f t="shared" si="29"/>
        <v/>
      </c>
      <c r="AP89" s="547" t="str">
        <f t="shared" si="30"/>
        <v/>
      </c>
      <c r="AQ89" s="547" t="str">
        <f t="shared" si="31"/>
        <v>入力済</v>
      </c>
      <c r="AR89" s="548" t="str">
        <f t="shared" si="32"/>
        <v/>
      </c>
      <c r="AS89" s="547" t="str">
        <f t="shared" si="33"/>
        <v>入力済</v>
      </c>
      <c r="AT89" s="547" t="str">
        <f t="shared" si="38"/>
        <v/>
      </c>
      <c r="AU89" s="547" t="str">
        <f t="shared" si="39"/>
        <v/>
      </c>
      <c r="AV89" s="548" t="str">
        <f t="shared" si="40"/>
        <v/>
      </c>
      <c r="AW89" s="548" t="str">
        <f t="shared" si="34"/>
        <v>入力済</v>
      </c>
      <c r="AX89" s="547" t="str">
        <f>IFERROR(VLOOKUP(K89,【参考】数式用!$AR$3:$AS$49,2, FALSE), "")</f>
        <v/>
      </c>
      <c r="AY89" s="548" t="str">
        <f t="shared" si="35"/>
        <v/>
      </c>
      <c r="AZ89" s="548" t="str">
        <f t="shared" si="41"/>
        <v>入力済</v>
      </c>
      <c r="BA89" s="547" t="str">
        <f>IFERROR(VLOOKUP(K89,【参考】数式用!$AX$3:$AY$56, 2, FALSE), "")</f>
        <v/>
      </c>
      <c r="BB89" s="548" t="str">
        <f t="shared" si="27"/>
        <v/>
      </c>
      <c r="BC89" s="648" t="str">
        <f t="shared" si="36"/>
        <v>入力済</v>
      </c>
      <c r="BD89" s="548" t="str">
        <f t="shared" si="42"/>
        <v/>
      </c>
      <c r="BE89" s="548" t="str">
        <f t="shared" si="43"/>
        <v/>
      </c>
      <c r="BF89" s="515"/>
      <c r="BG89" s="515"/>
      <c r="BH89" s="634" t="e">
        <f>VLOOKUP(K89,【参考】数式用!$A$2:$O$57,15,FALSE)</f>
        <v>#N/A</v>
      </c>
      <c r="BI89" s="515"/>
      <c r="BJ89" s="515"/>
      <c r="BK89" s="515"/>
      <c r="BL89" s="515"/>
      <c r="BM89" s="515"/>
      <c r="BN89" s="515"/>
      <c r="BO89" s="516"/>
    </row>
    <row r="90" spans="1:67" s="517" customFormat="1" ht="109.9" customHeight="1" thickBot="1">
      <c r="A90" s="454">
        <v>79</v>
      </c>
      <c r="B90" s="933" t="str">
        <f>IF(基本情報入力シート!B118="","",基本情報入力シート!B118)</f>
        <v/>
      </c>
      <c r="C90" s="934"/>
      <c r="D90" s="934"/>
      <c r="E90" s="934"/>
      <c r="F90" s="935"/>
      <c r="G90" s="455" t="str">
        <f>IF(基本情報入力シート!L118="", "", 基本情報入力シート!L118)</f>
        <v/>
      </c>
      <c r="H90" s="455" t="str">
        <f>IF(基本情報入力シート!Q118="", "", 基本情報入力シート!Q118)</f>
        <v/>
      </c>
      <c r="I90" s="455" t="str">
        <f>IF(基本情報入力シート!V118="", "", 基本情報入力シート!V118)</f>
        <v/>
      </c>
      <c r="J90" s="455" t="str">
        <f>IF(基本情報入力シート!W118="", "", 基本情報入力シート!W118)</f>
        <v/>
      </c>
      <c r="K90" s="455" t="str">
        <f>IF(基本情報入力シート!Z118="", "", 基本情報入力シート!Z118)</f>
        <v/>
      </c>
      <c r="L90" s="101" t="str">
        <f>IF(基本情報入力シート!AF118=0, "",基本情報入力シート!AF118)</f>
        <v/>
      </c>
      <c r="M90" s="142" t="str">
        <f>IF(基本情報入力シート!AG118="","",基本情報入力シート!AG118)</f>
        <v/>
      </c>
      <c r="N90" s="136"/>
      <c r="O90" s="155" t="str">
        <f>IFERROR(VLOOKUP(K90,【参考】数式用!$A$2:$F$57,MATCH(N90,【参考】数式用!$C$3:$F$3,0)+2,0),"")</f>
        <v/>
      </c>
      <c r="P90" s="456" t="s">
        <v>180</v>
      </c>
      <c r="Q90" s="141"/>
      <c r="R90" s="457" t="s">
        <v>271</v>
      </c>
      <c r="S90" s="141"/>
      <c r="T90" s="457" t="s">
        <v>272</v>
      </c>
      <c r="U90" s="141"/>
      <c r="V90" s="457" t="s">
        <v>271</v>
      </c>
      <c r="W90" s="141"/>
      <c r="X90" s="457" t="s">
        <v>273</v>
      </c>
      <c r="Y90" s="457" t="s">
        <v>274</v>
      </c>
      <c r="Z90" s="457" t="str">
        <f t="shared" si="44"/>
        <v/>
      </c>
      <c r="AA90" s="458" t="s">
        <v>275</v>
      </c>
      <c r="AB90" s="459" t="str">
        <f t="shared" si="45"/>
        <v/>
      </c>
      <c r="AC90" s="460" t="str">
        <f>IFERROR(ROUNDDOWN(ROUNDDOWN(ROUND(L90*VLOOKUP(K90,【参考】数式用!$A$4:$F$57,MATCH("処遇改善加算Ⅳ",【参考】数式用!$C$3:$F$3,0)+2,0),0)*M90,0)*Z90*0.5,0), "")</f>
        <v/>
      </c>
      <c r="AD90" s="156"/>
      <c r="AE90" s="157"/>
      <c r="AF90" s="157"/>
      <c r="AG90" s="158"/>
      <c r="AH90" s="159"/>
      <c r="AI90" s="161"/>
      <c r="AJ90" s="161"/>
      <c r="AK90" s="542" t="str">
        <f t="shared" si="37"/>
        <v/>
      </c>
      <c r="AL90" s="543" t="str">
        <f t="shared" si="28"/>
        <v/>
      </c>
      <c r="AM90" s="544"/>
      <c r="AN90" s="548" t="str">
        <f>IFERROR(VLOOKUP(K90,【参考】数式用!$A$2:$N$57,14,FALSE),"")</f>
        <v/>
      </c>
      <c r="AO90" s="548" t="str">
        <f t="shared" si="29"/>
        <v/>
      </c>
      <c r="AP90" s="547" t="str">
        <f t="shared" si="30"/>
        <v/>
      </c>
      <c r="AQ90" s="547" t="str">
        <f t="shared" si="31"/>
        <v>入力済</v>
      </c>
      <c r="AR90" s="548" t="str">
        <f t="shared" si="32"/>
        <v/>
      </c>
      <c r="AS90" s="547" t="str">
        <f t="shared" si="33"/>
        <v>入力済</v>
      </c>
      <c r="AT90" s="547" t="str">
        <f t="shared" si="38"/>
        <v/>
      </c>
      <c r="AU90" s="547" t="str">
        <f t="shared" si="39"/>
        <v/>
      </c>
      <c r="AV90" s="548" t="str">
        <f t="shared" si="40"/>
        <v/>
      </c>
      <c r="AW90" s="548" t="str">
        <f t="shared" si="34"/>
        <v>入力済</v>
      </c>
      <c r="AX90" s="547" t="str">
        <f>IFERROR(VLOOKUP(K90,【参考】数式用!$AR$3:$AS$49,2, FALSE), "")</f>
        <v/>
      </c>
      <c r="AY90" s="548" t="str">
        <f t="shared" si="35"/>
        <v/>
      </c>
      <c r="AZ90" s="548" t="str">
        <f t="shared" si="41"/>
        <v>入力済</v>
      </c>
      <c r="BA90" s="547" t="str">
        <f>IFERROR(VLOOKUP(K90,【参考】数式用!$AX$3:$AY$56, 2, FALSE), "")</f>
        <v/>
      </c>
      <c r="BB90" s="548" t="str">
        <f t="shared" si="27"/>
        <v/>
      </c>
      <c r="BC90" s="648" t="str">
        <f t="shared" si="36"/>
        <v>入力済</v>
      </c>
      <c r="BD90" s="548" t="str">
        <f t="shared" si="42"/>
        <v/>
      </c>
      <c r="BE90" s="548" t="str">
        <f t="shared" si="43"/>
        <v/>
      </c>
      <c r="BF90" s="515"/>
      <c r="BG90" s="515"/>
      <c r="BH90" s="634" t="e">
        <f>VLOOKUP(K90,【参考】数式用!$A$2:$O$57,15,FALSE)</f>
        <v>#N/A</v>
      </c>
      <c r="BI90" s="515"/>
      <c r="BJ90" s="515"/>
      <c r="BK90" s="515"/>
      <c r="BL90" s="515"/>
      <c r="BM90" s="515"/>
      <c r="BN90" s="515"/>
      <c r="BO90" s="516"/>
    </row>
    <row r="91" spans="1:67" s="517" customFormat="1" ht="109.9" customHeight="1" thickBot="1">
      <c r="A91" s="454">
        <v>80</v>
      </c>
      <c r="B91" s="933" t="str">
        <f>IF(基本情報入力シート!B119="","",基本情報入力シート!B119)</f>
        <v/>
      </c>
      <c r="C91" s="934"/>
      <c r="D91" s="934"/>
      <c r="E91" s="934"/>
      <c r="F91" s="935"/>
      <c r="G91" s="455" t="str">
        <f>IF(基本情報入力シート!L119="", "", 基本情報入力シート!L119)</f>
        <v/>
      </c>
      <c r="H91" s="455" t="str">
        <f>IF(基本情報入力シート!Q119="", "", 基本情報入力シート!Q119)</f>
        <v/>
      </c>
      <c r="I91" s="455" t="str">
        <f>IF(基本情報入力シート!V119="", "", 基本情報入力シート!V119)</f>
        <v/>
      </c>
      <c r="J91" s="455" t="str">
        <f>IF(基本情報入力シート!W119="", "", 基本情報入力シート!W119)</f>
        <v/>
      </c>
      <c r="K91" s="455" t="str">
        <f>IF(基本情報入力シート!Z119="", "", 基本情報入力シート!Z119)</f>
        <v/>
      </c>
      <c r="L91" s="101" t="str">
        <f>IF(基本情報入力シート!AF119=0, "",基本情報入力シート!AF119)</f>
        <v/>
      </c>
      <c r="M91" s="142" t="str">
        <f>IF(基本情報入力シート!AG119="","",基本情報入力シート!AG119)</f>
        <v/>
      </c>
      <c r="N91" s="136"/>
      <c r="O91" s="155" t="str">
        <f>IFERROR(VLOOKUP(K91,【参考】数式用!$A$2:$F$57,MATCH(N91,【参考】数式用!$C$3:$F$3,0)+2,0),"")</f>
        <v/>
      </c>
      <c r="P91" s="456" t="s">
        <v>180</v>
      </c>
      <c r="Q91" s="141"/>
      <c r="R91" s="457" t="s">
        <v>271</v>
      </c>
      <c r="S91" s="141"/>
      <c r="T91" s="457" t="s">
        <v>272</v>
      </c>
      <c r="U91" s="141"/>
      <c r="V91" s="457" t="s">
        <v>271</v>
      </c>
      <c r="W91" s="141"/>
      <c r="X91" s="457" t="s">
        <v>273</v>
      </c>
      <c r="Y91" s="457" t="s">
        <v>274</v>
      </c>
      <c r="Z91" s="457" t="str">
        <f t="shared" si="44"/>
        <v/>
      </c>
      <c r="AA91" s="458" t="s">
        <v>275</v>
      </c>
      <c r="AB91" s="459" t="str">
        <f t="shared" si="45"/>
        <v/>
      </c>
      <c r="AC91" s="460" t="str">
        <f>IFERROR(ROUNDDOWN(ROUNDDOWN(ROUND(L91*VLOOKUP(K91,【参考】数式用!$A$4:$F$57,MATCH("処遇改善加算Ⅳ",【参考】数式用!$C$3:$F$3,0)+2,0),0)*M91,0)*Z91*0.5,0), "")</f>
        <v/>
      </c>
      <c r="AD91" s="156"/>
      <c r="AE91" s="157"/>
      <c r="AF91" s="157"/>
      <c r="AG91" s="158"/>
      <c r="AH91" s="159"/>
      <c r="AI91" s="161"/>
      <c r="AJ91" s="161"/>
      <c r="AK91" s="542" t="str">
        <f t="shared" si="37"/>
        <v/>
      </c>
      <c r="AL91" s="543" t="str">
        <f t="shared" si="28"/>
        <v/>
      </c>
      <c r="AM91" s="544"/>
      <c r="AN91" s="548" t="str">
        <f>IFERROR(VLOOKUP(K91,【参考】数式用!$A$2:$N$57,14,FALSE),"")</f>
        <v/>
      </c>
      <c r="AO91" s="548" t="str">
        <f t="shared" si="29"/>
        <v/>
      </c>
      <c r="AP91" s="547" t="str">
        <f t="shared" si="30"/>
        <v/>
      </c>
      <c r="AQ91" s="547" t="str">
        <f t="shared" si="31"/>
        <v>入力済</v>
      </c>
      <c r="AR91" s="548" t="str">
        <f t="shared" si="32"/>
        <v/>
      </c>
      <c r="AS91" s="547" t="str">
        <f t="shared" si="33"/>
        <v>入力済</v>
      </c>
      <c r="AT91" s="547" t="str">
        <f t="shared" si="38"/>
        <v/>
      </c>
      <c r="AU91" s="547" t="str">
        <f t="shared" si="39"/>
        <v/>
      </c>
      <c r="AV91" s="548" t="str">
        <f t="shared" si="40"/>
        <v/>
      </c>
      <c r="AW91" s="548" t="str">
        <f t="shared" si="34"/>
        <v>入力済</v>
      </c>
      <c r="AX91" s="547" t="str">
        <f>IFERROR(VLOOKUP(K91,【参考】数式用!$AR$3:$AS$49,2, FALSE), "")</f>
        <v/>
      </c>
      <c r="AY91" s="548" t="str">
        <f t="shared" si="35"/>
        <v/>
      </c>
      <c r="AZ91" s="548" t="str">
        <f t="shared" si="41"/>
        <v>入力済</v>
      </c>
      <c r="BA91" s="547" t="str">
        <f>IFERROR(VLOOKUP(K91,【参考】数式用!$AX$3:$AY$56, 2, FALSE), "")</f>
        <v/>
      </c>
      <c r="BB91" s="548" t="str">
        <f t="shared" si="27"/>
        <v/>
      </c>
      <c r="BC91" s="648" t="str">
        <f t="shared" si="36"/>
        <v>入力済</v>
      </c>
      <c r="BD91" s="548" t="str">
        <f t="shared" si="42"/>
        <v/>
      </c>
      <c r="BE91" s="548" t="str">
        <f t="shared" si="43"/>
        <v/>
      </c>
      <c r="BF91" s="515"/>
      <c r="BG91" s="515"/>
      <c r="BH91" s="634" t="e">
        <f>VLOOKUP(K91,【参考】数式用!$A$2:$O$57,15,FALSE)</f>
        <v>#N/A</v>
      </c>
      <c r="BI91" s="515"/>
      <c r="BJ91" s="515"/>
      <c r="BK91" s="515"/>
      <c r="BL91" s="515"/>
      <c r="BM91" s="515"/>
      <c r="BN91" s="515"/>
      <c r="BO91" s="516"/>
    </row>
    <row r="92" spans="1:67" s="517" customFormat="1" ht="109.9" customHeight="1" thickBot="1">
      <c r="A92" s="454">
        <v>81</v>
      </c>
      <c r="B92" s="933" t="str">
        <f>IF(基本情報入力シート!B120="","",基本情報入力シート!B120)</f>
        <v/>
      </c>
      <c r="C92" s="934"/>
      <c r="D92" s="934"/>
      <c r="E92" s="934"/>
      <c r="F92" s="935"/>
      <c r="G92" s="455" t="str">
        <f>IF(基本情報入力シート!L120="", "", 基本情報入力シート!L120)</f>
        <v/>
      </c>
      <c r="H92" s="455" t="str">
        <f>IF(基本情報入力シート!Q120="", "", 基本情報入力シート!Q120)</f>
        <v/>
      </c>
      <c r="I92" s="455" t="str">
        <f>IF(基本情報入力シート!V120="", "", 基本情報入力シート!V120)</f>
        <v/>
      </c>
      <c r="J92" s="455" t="str">
        <f>IF(基本情報入力シート!W120="", "", 基本情報入力シート!W120)</f>
        <v/>
      </c>
      <c r="K92" s="455" t="str">
        <f>IF(基本情報入力シート!Z120="", "", 基本情報入力シート!Z120)</f>
        <v/>
      </c>
      <c r="L92" s="101" t="str">
        <f>IF(基本情報入力シート!AF120=0, "",基本情報入力シート!AF120)</f>
        <v/>
      </c>
      <c r="M92" s="142" t="str">
        <f>IF(基本情報入力シート!AG120="","",基本情報入力シート!AG120)</f>
        <v/>
      </c>
      <c r="N92" s="136"/>
      <c r="O92" s="155" t="str">
        <f>IFERROR(VLOOKUP(K92,【参考】数式用!$A$2:$F$57,MATCH(N92,【参考】数式用!$C$3:$F$3,0)+2,0),"")</f>
        <v/>
      </c>
      <c r="P92" s="456" t="s">
        <v>180</v>
      </c>
      <c r="Q92" s="141"/>
      <c r="R92" s="457" t="s">
        <v>271</v>
      </c>
      <c r="S92" s="141"/>
      <c r="T92" s="457" t="s">
        <v>272</v>
      </c>
      <c r="U92" s="141"/>
      <c r="V92" s="457" t="s">
        <v>271</v>
      </c>
      <c r="W92" s="141"/>
      <c r="X92" s="457" t="s">
        <v>273</v>
      </c>
      <c r="Y92" s="457" t="s">
        <v>274</v>
      </c>
      <c r="Z92" s="457" t="str">
        <f t="shared" si="44"/>
        <v/>
      </c>
      <c r="AA92" s="458" t="s">
        <v>275</v>
      </c>
      <c r="AB92" s="459" t="str">
        <f t="shared" si="45"/>
        <v/>
      </c>
      <c r="AC92" s="460" t="str">
        <f>IFERROR(ROUNDDOWN(ROUNDDOWN(ROUND(L92*VLOOKUP(K92,【参考】数式用!$A$4:$F$57,MATCH("処遇改善加算Ⅳ",【参考】数式用!$C$3:$F$3,0)+2,0),0)*M92,0)*Z92*0.5,0), "")</f>
        <v/>
      </c>
      <c r="AD92" s="156"/>
      <c r="AE92" s="157"/>
      <c r="AF92" s="157"/>
      <c r="AG92" s="158"/>
      <c r="AH92" s="159"/>
      <c r="AI92" s="161"/>
      <c r="AJ92" s="161"/>
      <c r="AK92" s="542" t="str">
        <f t="shared" si="37"/>
        <v/>
      </c>
      <c r="AL92" s="543" t="str">
        <f t="shared" si="28"/>
        <v/>
      </c>
      <c r="AM92" s="544"/>
      <c r="AN92" s="548" t="str">
        <f>IFERROR(VLOOKUP(K92,【参考】数式用!$A$2:$N$57,14,FALSE),"")</f>
        <v/>
      </c>
      <c r="AO92" s="548" t="str">
        <f t="shared" si="29"/>
        <v/>
      </c>
      <c r="AP92" s="547" t="str">
        <f t="shared" si="30"/>
        <v/>
      </c>
      <c r="AQ92" s="547" t="str">
        <f t="shared" si="31"/>
        <v>入力済</v>
      </c>
      <c r="AR92" s="548" t="str">
        <f t="shared" si="32"/>
        <v/>
      </c>
      <c r="AS92" s="547" t="str">
        <f t="shared" si="33"/>
        <v>入力済</v>
      </c>
      <c r="AT92" s="547" t="str">
        <f t="shared" si="38"/>
        <v/>
      </c>
      <c r="AU92" s="547" t="str">
        <f t="shared" si="39"/>
        <v/>
      </c>
      <c r="AV92" s="548" t="str">
        <f t="shared" si="40"/>
        <v/>
      </c>
      <c r="AW92" s="548" t="str">
        <f t="shared" si="34"/>
        <v>入力済</v>
      </c>
      <c r="AX92" s="547" t="str">
        <f>IFERROR(VLOOKUP(K92,【参考】数式用!$AR$3:$AS$49,2, FALSE), "")</f>
        <v/>
      </c>
      <c r="AY92" s="548" t="str">
        <f t="shared" si="35"/>
        <v/>
      </c>
      <c r="AZ92" s="548" t="str">
        <f t="shared" si="41"/>
        <v>入力済</v>
      </c>
      <c r="BA92" s="547" t="str">
        <f>IFERROR(VLOOKUP(K92,【参考】数式用!$AX$3:$AY$56, 2, FALSE), "")</f>
        <v/>
      </c>
      <c r="BB92" s="548" t="str">
        <f t="shared" si="27"/>
        <v/>
      </c>
      <c r="BC92" s="648" t="str">
        <f t="shared" si="36"/>
        <v>入力済</v>
      </c>
      <c r="BD92" s="548" t="str">
        <f t="shared" si="42"/>
        <v/>
      </c>
      <c r="BE92" s="548" t="str">
        <f t="shared" si="43"/>
        <v/>
      </c>
      <c r="BF92" s="515"/>
      <c r="BG92" s="515"/>
      <c r="BH92" s="634" t="e">
        <f>VLOOKUP(K92,【参考】数式用!$A$2:$O$57,15,FALSE)</f>
        <v>#N/A</v>
      </c>
      <c r="BI92" s="515"/>
      <c r="BJ92" s="515"/>
      <c r="BK92" s="515"/>
      <c r="BL92" s="515"/>
      <c r="BM92" s="515"/>
      <c r="BN92" s="515"/>
      <c r="BO92" s="516"/>
    </row>
    <row r="93" spans="1:67" s="517" customFormat="1" ht="109.9" customHeight="1" thickBot="1">
      <c r="A93" s="454">
        <v>82</v>
      </c>
      <c r="B93" s="933" t="str">
        <f>IF(基本情報入力シート!B121="","",基本情報入力シート!B121)</f>
        <v/>
      </c>
      <c r="C93" s="934"/>
      <c r="D93" s="934"/>
      <c r="E93" s="934"/>
      <c r="F93" s="935"/>
      <c r="G93" s="455" t="str">
        <f>IF(基本情報入力シート!L121="", "", 基本情報入力シート!L121)</f>
        <v/>
      </c>
      <c r="H93" s="455" t="str">
        <f>IF(基本情報入力シート!Q121="", "", 基本情報入力シート!Q121)</f>
        <v/>
      </c>
      <c r="I93" s="455" t="str">
        <f>IF(基本情報入力シート!V121="", "", 基本情報入力シート!V121)</f>
        <v/>
      </c>
      <c r="J93" s="455" t="str">
        <f>IF(基本情報入力シート!W121="", "", 基本情報入力シート!W121)</f>
        <v/>
      </c>
      <c r="K93" s="455" t="str">
        <f>IF(基本情報入力シート!Z121="", "", 基本情報入力シート!Z121)</f>
        <v/>
      </c>
      <c r="L93" s="101" t="str">
        <f>IF(基本情報入力シート!AF121=0, "",基本情報入力シート!AF121)</f>
        <v/>
      </c>
      <c r="M93" s="142" t="str">
        <f>IF(基本情報入力シート!AG121="","",基本情報入力シート!AG121)</f>
        <v/>
      </c>
      <c r="N93" s="136"/>
      <c r="O93" s="155" t="str">
        <f>IFERROR(VLOOKUP(K93,【参考】数式用!$A$2:$F$57,MATCH(N93,【参考】数式用!$C$3:$F$3,0)+2,0),"")</f>
        <v/>
      </c>
      <c r="P93" s="456" t="s">
        <v>180</v>
      </c>
      <c r="Q93" s="141"/>
      <c r="R93" s="457" t="s">
        <v>271</v>
      </c>
      <c r="S93" s="141"/>
      <c r="T93" s="457" t="s">
        <v>272</v>
      </c>
      <c r="U93" s="141"/>
      <c r="V93" s="457" t="s">
        <v>271</v>
      </c>
      <c r="W93" s="141"/>
      <c r="X93" s="457" t="s">
        <v>182</v>
      </c>
      <c r="Y93" s="457" t="s">
        <v>274</v>
      </c>
      <c r="Z93" s="457" t="str">
        <f t="shared" si="44"/>
        <v/>
      </c>
      <c r="AA93" s="458" t="s">
        <v>275</v>
      </c>
      <c r="AB93" s="459" t="str">
        <f t="shared" si="45"/>
        <v/>
      </c>
      <c r="AC93" s="460" t="str">
        <f>IFERROR(ROUNDDOWN(ROUNDDOWN(ROUND(L93*VLOOKUP(K93,【参考】数式用!$A$4:$F$57,MATCH("処遇改善加算Ⅳ",【参考】数式用!$C$3:$F$3,0)+2,0),0)*M93,0)*Z93*0.5,0), "")</f>
        <v/>
      </c>
      <c r="AD93" s="156"/>
      <c r="AE93" s="157"/>
      <c r="AF93" s="157"/>
      <c r="AG93" s="158"/>
      <c r="AH93" s="159"/>
      <c r="AI93" s="161"/>
      <c r="AJ93" s="161"/>
      <c r="AK93" s="542" t="str">
        <f t="shared" si="37"/>
        <v/>
      </c>
      <c r="AL93" s="543" t="str">
        <f t="shared" si="28"/>
        <v/>
      </c>
      <c r="AM93" s="544"/>
      <c r="AN93" s="548" t="str">
        <f>IFERROR(VLOOKUP(K93,【参考】数式用!$A$2:$N$57,14,FALSE),"")</f>
        <v/>
      </c>
      <c r="AO93" s="548" t="str">
        <f t="shared" si="29"/>
        <v/>
      </c>
      <c r="AP93" s="547" t="str">
        <f t="shared" si="30"/>
        <v/>
      </c>
      <c r="AQ93" s="547" t="str">
        <f t="shared" si="31"/>
        <v>入力済</v>
      </c>
      <c r="AR93" s="548" t="str">
        <f t="shared" si="32"/>
        <v/>
      </c>
      <c r="AS93" s="547" t="str">
        <f t="shared" si="33"/>
        <v>入力済</v>
      </c>
      <c r="AT93" s="547" t="str">
        <f t="shared" si="38"/>
        <v/>
      </c>
      <c r="AU93" s="547" t="str">
        <f t="shared" si="39"/>
        <v/>
      </c>
      <c r="AV93" s="548" t="str">
        <f t="shared" si="40"/>
        <v/>
      </c>
      <c r="AW93" s="548" t="str">
        <f t="shared" si="34"/>
        <v>入力済</v>
      </c>
      <c r="AX93" s="547" t="str">
        <f>IFERROR(VLOOKUP(K93,【参考】数式用!$AR$3:$AS$49,2, FALSE), "")</f>
        <v/>
      </c>
      <c r="AY93" s="548" t="str">
        <f t="shared" si="35"/>
        <v/>
      </c>
      <c r="AZ93" s="548" t="str">
        <f t="shared" si="41"/>
        <v>入力済</v>
      </c>
      <c r="BA93" s="547" t="str">
        <f>IFERROR(VLOOKUP(K93,【参考】数式用!$AX$3:$AY$56, 2, FALSE), "")</f>
        <v/>
      </c>
      <c r="BB93" s="548" t="str">
        <f t="shared" si="27"/>
        <v/>
      </c>
      <c r="BC93" s="648" t="str">
        <f t="shared" si="36"/>
        <v>入力済</v>
      </c>
      <c r="BD93" s="548" t="str">
        <f t="shared" si="42"/>
        <v/>
      </c>
      <c r="BE93" s="548" t="str">
        <f t="shared" si="43"/>
        <v/>
      </c>
      <c r="BF93" s="515"/>
      <c r="BG93" s="515"/>
      <c r="BH93" s="634" t="e">
        <f>VLOOKUP(K93,【参考】数式用!$A$2:$O$57,15,FALSE)</f>
        <v>#N/A</v>
      </c>
      <c r="BI93" s="515"/>
      <c r="BJ93" s="515"/>
      <c r="BK93" s="515"/>
      <c r="BL93" s="515"/>
      <c r="BM93" s="515"/>
      <c r="BN93" s="515"/>
      <c r="BO93" s="516"/>
    </row>
    <row r="94" spans="1:67" s="517" customFormat="1" ht="109.9" customHeight="1" thickBot="1">
      <c r="A94" s="454">
        <v>83</v>
      </c>
      <c r="B94" s="933" t="str">
        <f>IF(基本情報入力シート!B122="","",基本情報入力シート!B122)</f>
        <v/>
      </c>
      <c r="C94" s="934"/>
      <c r="D94" s="934"/>
      <c r="E94" s="934"/>
      <c r="F94" s="935"/>
      <c r="G94" s="455" t="str">
        <f>IF(基本情報入力シート!L122="", "", 基本情報入力シート!L122)</f>
        <v/>
      </c>
      <c r="H94" s="455" t="str">
        <f>IF(基本情報入力シート!Q122="", "", 基本情報入力シート!Q122)</f>
        <v/>
      </c>
      <c r="I94" s="455" t="str">
        <f>IF(基本情報入力シート!V122="", "", 基本情報入力シート!V122)</f>
        <v/>
      </c>
      <c r="J94" s="455" t="str">
        <f>IF(基本情報入力シート!W122="", "", 基本情報入力シート!W122)</f>
        <v/>
      </c>
      <c r="K94" s="455" t="str">
        <f>IF(基本情報入力シート!Z122="", "", 基本情報入力シート!Z122)</f>
        <v/>
      </c>
      <c r="L94" s="101" t="str">
        <f>IF(基本情報入力シート!AF122=0, "",基本情報入力シート!AF122)</f>
        <v/>
      </c>
      <c r="M94" s="142" t="str">
        <f>IF(基本情報入力シート!AG122="","",基本情報入力シート!AG122)</f>
        <v/>
      </c>
      <c r="N94" s="136"/>
      <c r="O94" s="155" t="str">
        <f>IFERROR(VLOOKUP(K94,【参考】数式用!$A$2:$F$57,MATCH(N94,【参考】数式用!$C$3:$F$3,0)+2,0),"")</f>
        <v/>
      </c>
      <c r="P94" s="456" t="s">
        <v>180</v>
      </c>
      <c r="Q94" s="141"/>
      <c r="R94" s="457" t="s">
        <v>271</v>
      </c>
      <c r="S94" s="141"/>
      <c r="T94" s="457" t="s">
        <v>272</v>
      </c>
      <c r="U94" s="141"/>
      <c r="V94" s="457" t="s">
        <v>271</v>
      </c>
      <c r="W94" s="141"/>
      <c r="X94" s="457" t="s">
        <v>273</v>
      </c>
      <c r="Y94" s="457" t="s">
        <v>274</v>
      </c>
      <c r="Z94" s="457" t="str">
        <f t="shared" si="44"/>
        <v/>
      </c>
      <c r="AA94" s="458" t="s">
        <v>275</v>
      </c>
      <c r="AB94" s="459" t="str">
        <f t="shared" si="45"/>
        <v/>
      </c>
      <c r="AC94" s="460" t="str">
        <f>IFERROR(ROUNDDOWN(ROUNDDOWN(ROUND(L94*VLOOKUP(K94,【参考】数式用!$A$4:$F$57,MATCH("処遇改善加算Ⅳ",【参考】数式用!$C$3:$F$3,0)+2,0),0)*M94,0)*Z94*0.5,0), "")</f>
        <v/>
      </c>
      <c r="AD94" s="156"/>
      <c r="AE94" s="157"/>
      <c r="AF94" s="157"/>
      <c r="AG94" s="158"/>
      <c r="AH94" s="159"/>
      <c r="AI94" s="161"/>
      <c r="AJ94" s="161"/>
      <c r="AK94" s="542" t="str">
        <f t="shared" si="37"/>
        <v/>
      </c>
      <c r="AL94" s="543" t="str">
        <f t="shared" si="28"/>
        <v/>
      </c>
      <c r="AM94" s="544"/>
      <c r="AN94" s="548" t="str">
        <f>IFERROR(VLOOKUP(K94,【参考】数式用!$A$2:$N$57,14,FALSE),"")</f>
        <v/>
      </c>
      <c r="AO94" s="548" t="str">
        <f t="shared" si="29"/>
        <v/>
      </c>
      <c r="AP94" s="547" t="str">
        <f t="shared" si="30"/>
        <v/>
      </c>
      <c r="AQ94" s="547" t="str">
        <f t="shared" si="31"/>
        <v>入力済</v>
      </c>
      <c r="AR94" s="548" t="str">
        <f t="shared" si="32"/>
        <v/>
      </c>
      <c r="AS94" s="547" t="str">
        <f t="shared" si="33"/>
        <v>入力済</v>
      </c>
      <c r="AT94" s="547" t="str">
        <f t="shared" si="38"/>
        <v/>
      </c>
      <c r="AU94" s="547" t="str">
        <f t="shared" si="39"/>
        <v/>
      </c>
      <c r="AV94" s="548" t="str">
        <f t="shared" si="40"/>
        <v/>
      </c>
      <c r="AW94" s="548" t="str">
        <f t="shared" si="34"/>
        <v>入力済</v>
      </c>
      <c r="AX94" s="547" t="str">
        <f>IFERROR(VLOOKUP(K94,【参考】数式用!$AR$3:$AS$49,2, FALSE), "")</f>
        <v/>
      </c>
      <c r="AY94" s="548" t="str">
        <f t="shared" si="35"/>
        <v/>
      </c>
      <c r="AZ94" s="548" t="str">
        <f t="shared" si="41"/>
        <v>入力済</v>
      </c>
      <c r="BA94" s="547" t="str">
        <f>IFERROR(VLOOKUP(K94,【参考】数式用!$AX$3:$AY$56, 2, FALSE), "")</f>
        <v/>
      </c>
      <c r="BB94" s="548" t="str">
        <f t="shared" si="27"/>
        <v/>
      </c>
      <c r="BC94" s="648" t="str">
        <f t="shared" si="36"/>
        <v>入力済</v>
      </c>
      <c r="BD94" s="548" t="str">
        <f t="shared" si="42"/>
        <v/>
      </c>
      <c r="BE94" s="548" t="str">
        <f t="shared" si="43"/>
        <v/>
      </c>
      <c r="BF94" s="515"/>
      <c r="BG94" s="515"/>
      <c r="BH94" s="634" t="e">
        <f>VLOOKUP(K94,【参考】数式用!$A$2:$O$57,15,FALSE)</f>
        <v>#N/A</v>
      </c>
      <c r="BI94" s="515"/>
      <c r="BJ94" s="515"/>
      <c r="BK94" s="515"/>
      <c r="BL94" s="515"/>
      <c r="BM94" s="515"/>
      <c r="BN94" s="515"/>
      <c r="BO94" s="516"/>
    </row>
    <row r="95" spans="1:67" s="517" customFormat="1" ht="109.9" customHeight="1" thickBot="1">
      <c r="A95" s="454">
        <v>84</v>
      </c>
      <c r="B95" s="933" t="str">
        <f>IF(基本情報入力シート!B123="","",基本情報入力シート!B123)</f>
        <v/>
      </c>
      <c r="C95" s="934"/>
      <c r="D95" s="934"/>
      <c r="E95" s="934"/>
      <c r="F95" s="935"/>
      <c r="G95" s="455" t="str">
        <f>IF(基本情報入力シート!L123="", "", 基本情報入力シート!L123)</f>
        <v/>
      </c>
      <c r="H95" s="455" t="str">
        <f>IF(基本情報入力シート!Q123="", "", 基本情報入力シート!Q123)</f>
        <v/>
      </c>
      <c r="I95" s="455" t="str">
        <f>IF(基本情報入力シート!V123="", "", 基本情報入力シート!V123)</f>
        <v/>
      </c>
      <c r="J95" s="455" t="str">
        <f>IF(基本情報入力シート!W123="", "", 基本情報入力シート!W123)</f>
        <v/>
      </c>
      <c r="K95" s="455" t="str">
        <f>IF(基本情報入力シート!Z123="", "", 基本情報入力シート!Z123)</f>
        <v/>
      </c>
      <c r="L95" s="101" t="str">
        <f>IF(基本情報入力シート!AF123=0, "",基本情報入力シート!AF123)</f>
        <v/>
      </c>
      <c r="M95" s="142" t="str">
        <f>IF(基本情報入力シート!AG123="","",基本情報入力シート!AG123)</f>
        <v/>
      </c>
      <c r="N95" s="136"/>
      <c r="O95" s="155" t="str">
        <f>IFERROR(VLOOKUP(K95,【参考】数式用!$A$2:$F$57,MATCH(N95,【参考】数式用!$C$3:$F$3,0)+2,0),"")</f>
        <v/>
      </c>
      <c r="P95" s="456" t="s">
        <v>180</v>
      </c>
      <c r="Q95" s="141"/>
      <c r="R95" s="457" t="s">
        <v>271</v>
      </c>
      <c r="S95" s="141"/>
      <c r="T95" s="457" t="s">
        <v>272</v>
      </c>
      <c r="U95" s="141"/>
      <c r="V95" s="457" t="s">
        <v>271</v>
      </c>
      <c r="W95" s="141"/>
      <c r="X95" s="457" t="s">
        <v>273</v>
      </c>
      <c r="Y95" s="457" t="s">
        <v>274</v>
      </c>
      <c r="Z95" s="457" t="str">
        <f t="shared" si="44"/>
        <v/>
      </c>
      <c r="AA95" s="458" t="s">
        <v>275</v>
      </c>
      <c r="AB95" s="459" t="str">
        <f t="shared" si="45"/>
        <v/>
      </c>
      <c r="AC95" s="460" t="str">
        <f>IFERROR(ROUNDDOWN(ROUNDDOWN(ROUND(L95*VLOOKUP(K95,【参考】数式用!$A$4:$F$57,MATCH("処遇改善加算Ⅳ",【参考】数式用!$C$3:$F$3,0)+2,0),0)*M95,0)*Z95*0.5,0), "")</f>
        <v/>
      </c>
      <c r="AD95" s="156"/>
      <c r="AE95" s="157"/>
      <c r="AF95" s="157"/>
      <c r="AG95" s="158"/>
      <c r="AH95" s="159"/>
      <c r="AI95" s="161"/>
      <c r="AJ95" s="161"/>
      <c r="AK95" s="542" t="str">
        <f t="shared" si="37"/>
        <v/>
      </c>
      <c r="AL95" s="543" t="str">
        <f t="shared" si="28"/>
        <v/>
      </c>
      <c r="AM95" s="544"/>
      <c r="AN95" s="548" t="str">
        <f>IFERROR(VLOOKUP(K95,【参考】数式用!$A$2:$N$57,14,FALSE),"")</f>
        <v/>
      </c>
      <c r="AO95" s="548" t="str">
        <f t="shared" si="29"/>
        <v/>
      </c>
      <c r="AP95" s="547" t="str">
        <f t="shared" si="30"/>
        <v/>
      </c>
      <c r="AQ95" s="547" t="str">
        <f t="shared" si="31"/>
        <v>入力済</v>
      </c>
      <c r="AR95" s="548" t="str">
        <f t="shared" si="32"/>
        <v/>
      </c>
      <c r="AS95" s="547" t="str">
        <f t="shared" si="33"/>
        <v>入力済</v>
      </c>
      <c r="AT95" s="547" t="str">
        <f t="shared" si="38"/>
        <v/>
      </c>
      <c r="AU95" s="547" t="str">
        <f t="shared" si="39"/>
        <v/>
      </c>
      <c r="AV95" s="548" t="str">
        <f t="shared" si="40"/>
        <v/>
      </c>
      <c r="AW95" s="548" t="str">
        <f t="shared" si="34"/>
        <v>入力済</v>
      </c>
      <c r="AX95" s="547" t="str">
        <f>IFERROR(VLOOKUP(K95,【参考】数式用!$AR$3:$AS$49,2, FALSE), "")</f>
        <v/>
      </c>
      <c r="AY95" s="548" t="str">
        <f t="shared" si="35"/>
        <v/>
      </c>
      <c r="AZ95" s="548" t="str">
        <f t="shared" si="41"/>
        <v>入力済</v>
      </c>
      <c r="BA95" s="547" t="str">
        <f>IFERROR(VLOOKUP(K95,【参考】数式用!$AX$3:$AY$56, 2, FALSE), "")</f>
        <v/>
      </c>
      <c r="BB95" s="548" t="str">
        <f t="shared" si="27"/>
        <v/>
      </c>
      <c r="BC95" s="648" t="str">
        <f t="shared" si="36"/>
        <v>入力済</v>
      </c>
      <c r="BD95" s="548" t="str">
        <f t="shared" si="42"/>
        <v/>
      </c>
      <c r="BE95" s="548" t="str">
        <f t="shared" si="43"/>
        <v/>
      </c>
      <c r="BF95" s="515"/>
      <c r="BG95" s="515"/>
      <c r="BH95" s="634" t="e">
        <f>VLOOKUP(K95,【参考】数式用!$A$2:$O$57,15,FALSE)</f>
        <v>#N/A</v>
      </c>
      <c r="BI95" s="515"/>
      <c r="BJ95" s="515"/>
      <c r="BK95" s="515"/>
      <c r="BL95" s="515"/>
      <c r="BM95" s="515"/>
      <c r="BN95" s="515"/>
      <c r="BO95" s="516"/>
    </row>
    <row r="96" spans="1:67" s="517" customFormat="1" ht="109.9" customHeight="1" thickBot="1">
      <c r="A96" s="454">
        <v>85</v>
      </c>
      <c r="B96" s="933" t="str">
        <f>IF(基本情報入力シート!B124="","",基本情報入力シート!B124)</f>
        <v/>
      </c>
      <c r="C96" s="934"/>
      <c r="D96" s="934"/>
      <c r="E96" s="934"/>
      <c r="F96" s="935"/>
      <c r="G96" s="455" t="str">
        <f>IF(基本情報入力シート!L124="", "", 基本情報入力シート!L124)</f>
        <v/>
      </c>
      <c r="H96" s="455" t="str">
        <f>IF(基本情報入力シート!Q124="", "", 基本情報入力シート!Q124)</f>
        <v/>
      </c>
      <c r="I96" s="455" t="str">
        <f>IF(基本情報入力シート!V124="", "", 基本情報入力シート!V124)</f>
        <v/>
      </c>
      <c r="J96" s="455" t="str">
        <f>IF(基本情報入力シート!W124="", "", 基本情報入力シート!W124)</f>
        <v/>
      </c>
      <c r="K96" s="455" t="str">
        <f>IF(基本情報入力シート!Z124="", "", 基本情報入力シート!Z124)</f>
        <v/>
      </c>
      <c r="L96" s="101" t="str">
        <f>IF(基本情報入力シート!AF124=0, "",基本情報入力シート!AF124)</f>
        <v/>
      </c>
      <c r="M96" s="142" t="str">
        <f>IF(基本情報入力シート!AG124="","",基本情報入力シート!AG124)</f>
        <v/>
      </c>
      <c r="N96" s="136"/>
      <c r="O96" s="155" t="str">
        <f>IFERROR(VLOOKUP(K96,【参考】数式用!$A$2:$F$57,MATCH(N96,【参考】数式用!$C$3:$F$3,0)+2,0),"")</f>
        <v/>
      </c>
      <c r="P96" s="456" t="s">
        <v>180</v>
      </c>
      <c r="Q96" s="141"/>
      <c r="R96" s="457" t="s">
        <v>271</v>
      </c>
      <c r="S96" s="141"/>
      <c r="T96" s="457" t="s">
        <v>272</v>
      </c>
      <c r="U96" s="141"/>
      <c r="V96" s="457" t="s">
        <v>271</v>
      </c>
      <c r="W96" s="141"/>
      <c r="X96" s="457" t="s">
        <v>273</v>
      </c>
      <c r="Y96" s="457" t="s">
        <v>274</v>
      </c>
      <c r="Z96" s="457" t="str">
        <f t="shared" si="44"/>
        <v/>
      </c>
      <c r="AA96" s="458" t="s">
        <v>275</v>
      </c>
      <c r="AB96" s="459" t="str">
        <f t="shared" si="45"/>
        <v/>
      </c>
      <c r="AC96" s="460" t="str">
        <f>IFERROR(ROUNDDOWN(ROUNDDOWN(ROUND(L96*VLOOKUP(K96,【参考】数式用!$A$4:$F$57,MATCH("処遇改善加算Ⅳ",【参考】数式用!$C$3:$F$3,0)+2,0),0)*M96,0)*Z96*0.5,0), "")</f>
        <v/>
      </c>
      <c r="AD96" s="156"/>
      <c r="AE96" s="157"/>
      <c r="AF96" s="157"/>
      <c r="AG96" s="158"/>
      <c r="AH96" s="159"/>
      <c r="AI96" s="161"/>
      <c r="AJ96" s="161"/>
      <c r="AK96" s="542" t="str">
        <f t="shared" si="37"/>
        <v/>
      </c>
      <c r="AL96" s="543" t="str">
        <f t="shared" si="28"/>
        <v/>
      </c>
      <c r="AM96" s="544"/>
      <c r="AN96" s="548" t="str">
        <f>IFERROR(VLOOKUP(K96,【参考】数式用!$A$2:$N$57,14,FALSE),"")</f>
        <v/>
      </c>
      <c r="AO96" s="548" t="str">
        <f t="shared" si="29"/>
        <v/>
      </c>
      <c r="AP96" s="547" t="str">
        <f t="shared" si="30"/>
        <v/>
      </c>
      <c r="AQ96" s="547" t="str">
        <f t="shared" si="31"/>
        <v>入力済</v>
      </c>
      <c r="AR96" s="548" t="str">
        <f t="shared" si="32"/>
        <v/>
      </c>
      <c r="AS96" s="547" t="str">
        <f t="shared" si="33"/>
        <v>入力済</v>
      </c>
      <c r="AT96" s="547" t="str">
        <f t="shared" si="38"/>
        <v/>
      </c>
      <c r="AU96" s="547" t="str">
        <f t="shared" si="39"/>
        <v/>
      </c>
      <c r="AV96" s="548" t="str">
        <f t="shared" si="40"/>
        <v/>
      </c>
      <c r="AW96" s="548" t="str">
        <f t="shared" si="34"/>
        <v>入力済</v>
      </c>
      <c r="AX96" s="547" t="str">
        <f>IFERROR(VLOOKUP(K96,【参考】数式用!$AR$3:$AS$49,2, FALSE), "")</f>
        <v/>
      </c>
      <c r="AY96" s="548" t="str">
        <f t="shared" si="35"/>
        <v/>
      </c>
      <c r="AZ96" s="548" t="str">
        <f t="shared" si="41"/>
        <v>入力済</v>
      </c>
      <c r="BA96" s="547" t="str">
        <f>IFERROR(VLOOKUP(K96,【参考】数式用!$AX$3:$AY$56, 2, FALSE), "")</f>
        <v/>
      </c>
      <c r="BB96" s="548" t="str">
        <f t="shared" si="27"/>
        <v/>
      </c>
      <c r="BC96" s="648" t="str">
        <f t="shared" si="36"/>
        <v>入力済</v>
      </c>
      <c r="BD96" s="548" t="str">
        <f t="shared" si="42"/>
        <v/>
      </c>
      <c r="BE96" s="548" t="str">
        <f t="shared" si="43"/>
        <v/>
      </c>
      <c r="BF96" s="515"/>
      <c r="BG96" s="515"/>
      <c r="BH96" s="634" t="e">
        <f>VLOOKUP(K96,【参考】数式用!$A$2:$O$57,15,FALSE)</f>
        <v>#N/A</v>
      </c>
      <c r="BI96" s="515"/>
      <c r="BJ96" s="515"/>
      <c r="BK96" s="515"/>
      <c r="BL96" s="515"/>
      <c r="BM96" s="515"/>
      <c r="BN96" s="515"/>
      <c r="BO96" s="516"/>
    </row>
    <row r="97" spans="1:67" s="517" customFormat="1" ht="109.9" customHeight="1" thickBot="1">
      <c r="A97" s="454">
        <v>86</v>
      </c>
      <c r="B97" s="933" t="str">
        <f>IF(基本情報入力シート!B125="","",基本情報入力シート!B125)</f>
        <v/>
      </c>
      <c r="C97" s="934"/>
      <c r="D97" s="934"/>
      <c r="E97" s="934"/>
      <c r="F97" s="935"/>
      <c r="G97" s="455" t="str">
        <f>IF(基本情報入力シート!L125="", "", 基本情報入力シート!L125)</f>
        <v/>
      </c>
      <c r="H97" s="455" t="str">
        <f>IF(基本情報入力シート!Q125="", "", 基本情報入力シート!Q125)</f>
        <v/>
      </c>
      <c r="I97" s="455" t="str">
        <f>IF(基本情報入力シート!V125="", "", 基本情報入力シート!V125)</f>
        <v/>
      </c>
      <c r="J97" s="455" t="str">
        <f>IF(基本情報入力シート!W125="", "", 基本情報入力シート!W125)</f>
        <v/>
      </c>
      <c r="K97" s="455" t="str">
        <f>IF(基本情報入力シート!Z125="", "", 基本情報入力シート!Z125)</f>
        <v/>
      </c>
      <c r="L97" s="101" t="str">
        <f>IF(基本情報入力シート!AF125=0, "",基本情報入力シート!AF125)</f>
        <v/>
      </c>
      <c r="M97" s="142" t="str">
        <f>IF(基本情報入力シート!AG125="","",基本情報入力シート!AG125)</f>
        <v/>
      </c>
      <c r="N97" s="136"/>
      <c r="O97" s="155" t="str">
        <f>IFERROR(VLOOKUP(K97,【参考】数式用!$A$2:$F$57,MATCH(N97,【参考】数式用!$C$3:$F$3,0)+2,0),"")</f>
        <v/>
      </c>
      <c r="P97" s="456" t="s">
        <v>180</v>
      </c>
      <c r="Q97" s="141"/>
      <c r="R97" s="457" t="s">
        <v>271</v>
      </c>
      <c r="S97" s="141"/>
      <c r="T97" s="457" t="s">
        <v>272</v>
      </c>
      <c r="U97" s="141"/>
      <c r="V97" s="457" t="s">
        <v>271</v>
      </c>
      <c r="W97" s="141"/>
      <c r="X97" s="457" t="s">
        <v>182</v>
      </c>
      <c r="Y97" s="457" t="s">
        <v>274</v>
      </c>
      <c r="Z97" s="457" t="str">
        <f t="shared" si="44"/>
        <v/>
      </c>
      <c r="AA97" s="458" t="s">
        <v>275</v>
      </c>
      <c r="AB97" s="459" t="str">
        <f t="shared" si="45"/>
        <v/>
      </c>
      <c r="AC97" s="460" t="str">
        <f>IFERROR(ROUNDDOWN(ROUNDDOWN(ROUND(L97*VLOOKUP(K97,【参考】数式用!$A$4:$F$57,MATCH("処遇改善加算Ⅳ",【参考】数式用!$C$3:$F$3,0)+2,0),0)*M97,0)*Z97*0.5,0), "")</f>
        <v/>
      </c>
      <c r="AD97" s="156"/>
      <c r="AE97" s="157"/>
      <c r="AF97" s="157"/>
      <c r="AG97" s="158"/>
      <c r="AH97" s="159"/>
      <c r="AI97" s="161"/>
      <c r="AJ97" s="161"/>
      <c r="AK97" s="542" t="str">
        <f t="shared" si="37"/>
        <v/>
      </c>
      <c r="AL97" s="543" t="str">
        <f t="shared" si="28"/>
        <v/>
      </c>
      <c r="AM97" s="544"/>
      <c r="AN97" s="548" t="str">
        <f>IFERROR(VLOOKUP(K97,【参考】数式用!$A$2:$N$57,14,FALSE),"")</f>
        <v/>
      </c>
      <c r="AO97" s="548" t="str">
        <f t="shared" si="29"/>
        <v/>
      </c>
      <c r="AP97" s="547" t="str">
        <f t="shared" si="30"/>
        <v/>
      </c>
      <c r="AQ97" s="547" t="str">
        <f t="shared" si="31"/>
        <v>入力済</v>
      </c>
      <c r="AR97" s="548" t="str">
        <f t="shared" si="32"/>
        <v/>
      </c>
      <c r="AS97" s="547" t="str">
        <f t="shared" si="33"/>
        <v>入力済</v>
      </c>
      <c r="AT97" s="547" t="str">
        <f t="shared" si="38"/>
        <v/>
      </c>
      <c r="AU97" s="547" t="str">
        <f t="shared" si="39"/>
        <v/>
      </c>
      <c r="AV97" s="548" t="str">
        <f t="shared" si="40"/>
        <v/>
      </c>
      <c r="AW97" s="548" t="str">
        <f t="shared" si="34"/>
        <v>入力済</v>
      </c>
      <c r="AX97" s="547" t="str">
        <f>IFERROR(VLOOKUP(K97,【参考】数式用!$AR$3:$AS$49,2, FALSE), "")</f>
        <v/>
      </c>
      <c r="AY97" s="548" t="str">
        <f t="shared" si="35"/>
        <v/>
      </c>
      <c r="AZ97" s="548" t="str">
        <f t="shared" si="41"/>
        <v>入力済</v>
      </c>
      <c r="BA97" s="547" t="str">
        <f>IFERROR(VLOOKUP(K97,【参考】数式用!$AX$3:$AY$56, 2, FALSE), "")</f>
        <v/>
      </c>
      <c r="BB97" s="548" t="str">
        <f t="shared" si="27"/>
        <v/>
      </c>
      <c r="BC97" s="648" t="str">
        <f t="shared" si="36"/>
        <v>入力済</v>
      </c>
      <c r="BD97" s="548" t="str">
        <f t="shared" si="42"/>
        <v/>
      </c>
      <c r="BE97" s="548" t="str">
        <f t="shared" si="43"/>
        <v/>
      </c>
      <c r="BF97" s="515"/>
      <c r="BG97" s="515"/>
      <c r="BH97" s="634" t="e">
        <f>VLOOKUP(K97,【参考】数式用!$A$2:$O$57,15,FALSE)</f>
        <v>#N/A</v>
      </c>
      <c r="BI97" s="515"/>
      <c r="BJ97" s="515"/>
      <c r="BK97" s="515"/>
      <c r="BL97" s="515"/>
      <c r="BM97" s="515"/>
      <c r="BN97" s="515"/>
      <c r="BO97" s="516"/>
    </row>
    <row r="98" spans="1:67" s="517" customFormat="1" ht="109.9" customHeight="1" thickBot="1">
      <c r="A98" s="454">
        <v>87</v>
      </c>
      <c r="B98" s="933" t="str">
        <f>IF(基本情報入力シート!B126="","",基本情報入力シート!B126)</f>
        <v/>
      </c>
      <c r="C98" s="934"/>
      <c r="D98" s="934"/>
      <c r="E98" s="934"/>
      <c r="F98" s="935"/>
      <c r="G98" s="455" t="str">
        <f>IF(基本情報入力シート!L126="", "", 基本情報入力シート!L126)</f>
        <v/>
      </c>
      <c r="H98" s="455" t="str">
        <f>IF(基本情報入力シート!Q126="", "", 基本情報入力シート!Q126)</f>
        <v/>
      </c>
      <c r="I98" s="455" t="str">
        <f>IF(基本情報入力シート!V126="", "", 基本情報入力シート!V126)</f>
        <v/>
      </c>
      <c r="J98" s="455" t="str">
        <f>IF(基本情報入力シート!W126="", "", 基本情報入力シート!W126)</f>
        <v/>
      </c>
      <c r="K98" s="455" t="str">
        <f>IF(基本情報入力シート!Z126="", "", 基本情報入力シート!Z126)</f>
        <v/>
      </c>
      <c r="L98" s="101" t="str">
        <f>IF(基本情報入力シート!AF126=0, "",基本情報入力シート!AF126)</f>
        <v/>
      </c>
      <c r="M98" s="142" t="str">
        <f>IF(基本情報入力シート!AG126="","",基本情報入力シート!AG126)</f>
        <v/>
      </c>
      <c r="N98" s="136"/>
      <c r="O98" s="155" t="str">
        <f>IFERROR(VLOOKUP(K98,【参考】数式用!$A$2:$F$57,MATCH(N98,【参考】数式用!$C$3:$F$3,0)+2,0),"")</f>
        <v/>
      </c>
      <c r="P98" s="456" t="s">
        <v>180</v>
      </c>
      <c r="Q98" s="141"/>
      <c r="R98" s="457" t="s">
        <v>271</v>
      </c>
      <c r="S98" s="141"/>
      <c r="T98" s="457" t="s">
        <v>272</v>
      </c>
      <c r="U98" s="141"/>
      <c r="V98" s="457" t="s">
        <v>271</v>
      </c>
      <c r="W98" s="141"/>
      <c r="X98" s="457" t="s">
        <v>182</v>
      </c>
      <c r="Y98" s="457" t="s">
        <v>274</v>
      </c>
      <c r="Z98" s="457" t="str">
        <f t="shared" si="44"/>
        <v/>
      </c>
      <c r="AA98" s="458" t="s">
        <v>275</v>
      </c>
      <c r="AB98" s="459" t="str">
        <f t="shared" si="45"/>
        <v/>
      </c>
      <c r="AC98" s="460" t="str">
        <f>IFERROR(ROUNDDOWN(ROUNDDOWN(ROUND(L98*VLOOKUP(K98,【参考】数式用!$A$4:$F$57,MATCH("処遇改善加算Ⅳ",【参考】数式用!$C$3:$F$3,0)+2,0),0)*M98,0)*Z98*0.5,0), "")</f>
        <v/>
      </c>
      <c r="AD98" s="156"/>
      <c r="AE98" s="157"/>
      <c r="AF98" s="157"/>
      <c r="AG98" s="158"/>
      <c r="AH98" s="159"/>
      <c r="AI98" s="161"/>
      <c r="AJ98" s="161"/>
      <c r="AK98" s="542" t="str">
        <f t="shared" si="37"/>
        <v/>
      </c>
      <c r="AL98" s="543" t="str">
        <f t="shared" si="28"/>
        <v/>
      </c>
      <c r="AM98" s="544"/>
      <c r="AN98" s="548" t="str">
        <f>IFERROR(VLOOKUP(K98,【参考】数式用!$A$2:$N$57,14,FALSE),"")</f>
        <v/>
      </c>
      <c r="AO98" s="548" t="str">
        <f t="shared" si="29"/>
        <v/>
      </c>
      <c r="AP98" s="547" t="str">
        <f t="shared" si="30"/>
        <v/>
      </c>
      <c r="AQ98" s="547" t="str">
        <f t="shared" si="31"/>
        <v>入力済</v>
      </c>
      <c r="AR98" s="548" t="str">
        <f t="shared" si="32"/>
        <v/>
      </c>
      <c r="AS98" s="547" t="str">
        <f t="shared" si="33"/>
        <v>入力済</v>
      </c>
      <c r="AT98" s="547" t="str">
        <f t="shared" si="38"/>
        <v/>
      </c>
      <c r="AU98" s="547" t="str">
        <f t="shared" si="39"/>
        <v/>
      </c>
      <c r="AV98" s="548" t="str">
        <f t="shared" si="40"/>
        <v/>
      </c>
      <c r="AW98" s="548" t="str">
        <f t="shared" si="34"/>
        <v>入力済</v>
      </c>
      <c r="AX98" s="547" t="str">
        <f>IFERROR(VLOOKUP(K98,【参考】数式用!$AR$3:$AS$49,2, FALSE), "")</f>
        <v/>
      </c>
      <c r="AY98" s="548" t="str">
        <f t="shared" si="35"/>
        <v/>
      </c>
      <c r="AZ98" s="548" t="str">
        <f t="shared" si="41"/>
        <v>入力済</v>
      </c>
      <c r="BA98" s="547" t="str">
        <f>IFERROR(VLOOKUP(K98,【参考】数式用!$AX$3:$AY$56, 2, FALSE), "")</f>
        <v/>
      </c>
      <c r="BB98" s="548" t="str">
        <f t="shared" si="27"/>
        <v/>
      </c>
      <c r="BC98" s="648" t="str">
        <f t="shared" si="36"/>
        <v>入力済</v>
      </c>
      <c r="BD98" s="548" t="str">
        <f t="shared" si="42"/>
        <v/>
      </c>
      <c r="BE98" s="548" t="str">
        <f t="shared" si="43"/>
        <v/>
      </c>
      <c r="BF98" s="515"/>
      <c r="BG98" s="515"/>
      <c r="BH98" s="634" t="e">
        <f>VLOOKUP(K98,【参考】数式用!$A$2:$O$57,15,FALSE)</f>
        <v>#N/A</v>
      </c>
      <c r="BI98" s="515"/>
      <c r="BJ98" s="515"/>
      <c r="BK98" s="515"/>
      <c r="BL98" s="515"/>
      <c r="BM98" s="515"/>
      <c r="BN98" s="515"/>
      <c r="BO98" s="516"/>
    </row>
    <row r="99" spans="1:67" s="517" customFormat="1" ht="109.9" customHeight="1" thickBot="1">
      <c r="A99" s="454">
        <v>88</v>
      </c>
      <c r="B99" s="933" t="str">
        <f>IF(基本情報入力シート!B127="","",基本情報入力シート!B127)</f>
        <v/>
      </c>
      <c r="C99" s="934"/>
      <c r="D99" s="934"/>
      <c r="E99" s="934"/>
      <c r="F99" s="935"/>
      <c r="G99" s="455" t="str">
        <f>IF(基本情報入力シート!L127="", "", 基本情報入力シート!L127)</f>
        <v/>
      </c>
      <c r="H99" s="455" t="str">
        <f>IF(基本情報入力シート!Q127="", "", 基本情報入力シート!Q127)</f>
        <v/>
      </c>
      <c r="I99" s="455" t="str">
        <f>IF(基本情報入力シート!V127="", "", 基本情報入力シート!V127)</f>
        <v/>
      </c>
      <c r="J99" s="455" t="str">
        <f>IF(基本情報入力シート!W127="", "", 基本情報入力シート!W127)</f>
        <v/>
      </c>
      <c r="K99" s="455" t="str">
        <f>IF(基本情報入力シート!Z127="", "", 基本情報入力シート!Z127)</f>
        <v/>
      </c>
      <c r="L99" s="101" t="str">
        <f>IF(基本情報入力シート!AF127=0, "",基本情報入力シート!AF127)</f>
        <v/>
      </c>
      <c r="M99" s="142" t="str">
        <f>IF(基本情報入力シート!AG127="","",基本情報入力シート!AG127)</f>
        <v/>
      </c>
      <c r="N99" s="136"/>
      <c r="O99" s="155" t="str">
        <f>IFERROR(VLOOKUP(K99,【参考】数式用!$A$2:$F$57,MATCH(N99,【参考】数式用!$C$3:$F$3,0)+2,0),"")</f>
        <v/>
      </c>
      <c r="P99" s="456" t="s">
        <v>180</v>
      </c>
      <c r="Q99" s="141"/>
      <c r="R99" s="457" t="s">
        <v>271</v>
      </c>
      <c r="S99" s="141"/>
      <c r="T99" s="457" t="s">
        <v>272</v>
      </c>
      <c r="U99" s="141"/>
      <c r="V99" s="457" t="s">
        <v>271</v>
      </c>
      <c r="W99" s="141"/>
      <c r="X99" s="457" t="s">
        <v>273</v>
      </c>
      <c r="Y99" s="457" t="s">
        <v>274</v>
      </c>
      <c r="Z99" s="457" t="str">
        <f t="shared" si="44"/>
        <v/>
      </c>
      <c r="AA99" s="458" t="s">
        <v>275</v>
      </c>
      <c r="AB99" s="459" t="str">
        <f t="shared" si="45"/>
        <v/>
      </c>
      <c r="AC99" s="460" t="str">
        <f>IFERROR(ROUNDDOWN(ROUNDDOWN(ROUND(L99*VLOOKUP(K99,【参考】数式用!$A$4:$F$57,MATCH("処遇改善加算Ⅳ",【参考】数式用!$C$3:$F$3,0)+2,0),0)*M99,0)*Z99*0.5,0), "")</f>
        <v/>
      </c>
      <c r="AD99" s="156"/>
      <c r="AE99" s="157"/>
      <c r="AF99" s="157"/>
      <c r="AG99" s="158"/>
      <c r="AH99" s="159"/>
      <c r="AI99" s="161"/>
      <c r="AJ99" s="161"/>
      <c r="AK99" s="542" t="str">
        <f t="shared" si="37"/>
        <v/>
      </c>
      <c r="AL99" s="543" t="str">
        <f t="shared" si="28"/>
        <v/>
      </c>
      <c r="AM99" s="544"/>
      <c r="AN99" s="548" t="str">
        <f>IFERROR(VLOOKUP(K99,【参考】数式用!$A$2:$N$57,14,FALSE),"")</f>
        <v/>
      </c>
      <c r="AO99" s="548" t="str">
        <f t="shared" si="29"/>
        <v/>
      </c>
      <c r="AP99" s="547" t="str">
        <f t="shared" si="30"/>
        <v/>
      </c>
      <c r="AQ99" s="547" t="str">
        <f t="shared" si="31"/>
        <v>入力済</v>
      </c>
      <c r="AR99" s="548" t="str">
        <f t="shared" si="32"/>
        <v/>
      </c>
      <c r="AS99" s="547" t="str">
        <f t="shared" si="33"/>
        <v>入力済</v>
      </c>
      <c r="AT99" s="547" t="str">
        <f t="shared" si="38"/>
        <v/>
      </c>
      <c r="AU99" s="547" t="str">
        <f t="shared" si="39"/>
        <v/>
      </c>
      <c r="AV99" s="548" t="str">
        <f t="shared" si="40"/>
        <v/>
      </c>
      <c r="AW99" s="548" t="str">
        <f t="shared" si="34"/>
        <v>入力済</v>
      </c>
      <c r="AX99" s="547" t="str">
        <f>IFERROR(VLOOKUP(K99,【参考】数式用!$AR$3:$AS$49,2, FALSE), "")</f>
        <v/>
      </c>
      <c r="AY99" s="548" t="str">
        <f t="shared" si="35"/>
        <v/>
      </c>
      <c r="AZ99" s="548" t="str">
        <f t="shared" si="41"/>
        <v>入力済</v>
      </c>
      <c r="BA99" s="547" t="str">
        <f>IFERROR(VLOOKUP(K99,【参考】数式用!$AX$3:$AY$56, 2, FALSE), "")</f>
        <v/>
      </c>
      <c r="BB99" s="548" t="str">
        <f t="shared" si="27"/>
        <v/>
      </c>
      <c r="BC99" s="648" t="str">
        <f t="shared" si="36"/>
        <v>入力済</v>
      </c>
      <c r="BD99" s="548" t="str">
        <f t="shared" si="42"/>
        <v/>
      </c>
      <c r="BE99" s="548" t="str">
        <f t="shared" si="43"/>
        <v/>
      </c>
      <c r="BF99" s="515"/>
      <c r="BG99" s="515"/>
      <c r="BH99" s="634" t="e">
        <f>VLOOKUP(K99,【参考】数式用!$A$2:$O$57,15,FALSE)</f>
        <v>#N/A</v>
      </c>
      <c r="BI99" s="515"/>
      <c r="BJ99" s="515"/>
      <c r="BK99" s="515"/>
      <c r="BL99" s="515"/>
      <c r="BM99" s="515"/>
      <c r="BN99" s="515"/>
      <c r="BO99" s="516"/>
    </row>
    <row r="100" spans="1:67" s="517" customFormat="1" ht="109.9" customHeight="1" thickBot="1">
      <c r="A100" s="454">
        <v>89</v>
      </c>
      <c r="B100" s="933" t="str">
        <f>IF(基本情報入力シート!B128="","",基本情報入力シート!B128)</f>
        <v/>
      </c>
      <c r="C100" s="934"/>
      <c r="D100" s="934"/>
      <c r="E100" s="934"/>
      <c r="F100" s="935"/>
      <c r="G100" s="455" t="str">
        <f>IF(基本情報入力シート!L128="", "", 基本情報入力シート!L128)</f>
        <v/>
      </c>
      <c r="H100" s="455" t="str">
        <f>IF(基本情報入力シート!Q128="", "", 基本情報入力シート!Q128)</f>
        <v/>
      </c>
      <c r="I100" s="455" t="str">
        <f>IF(基本情報入力シート!V128="", "", 基本情報入力シート!V128)</f>
        <v/>
      </c>
      <c r="J100" s="455" t="str">
        <f>IF(基本情報入力シート!W128="", "", 基本情報入力シート!W128)</f>
        <v/>
      </c>
      <c r="K100" s="455" t="str">
        <f>IF(基本情報入力シート!Z128="", "", 基本情報入力シート!Z128)</f>
        <v/>
      </c>
      <c r="L100" s="101" t="str">
        <f>IF(基本情報入力シート!AF128=0, "",基本情報入力シート!AF128)</f>
        <v/>
      </c>
      <c r="M100" s="142" t="str">
        <f>IF(基本情報入力シート!AG128="","",基本情報入力シート!AG128)</f>
        <v/>
      </c>
      <c r="N100" s="136"/>
      <c r="O100" s="155" t="str">
        <f>IFERROR(VLOOKUP(K100,【参考】数式用!$A$2:$F$57,MATCH(N100,【参考】数式用!$C$3:$F$3,0)+2,0),"")</f>
        <v/>
      </c>
      <c r="P100" s="456" t="s">
        <v>180</v>
      </c>
      <c r="Q100" s="141"/>
      <c r="R100" s="457" t="s">
        <v>271</v>
      </c>
      <c r="S100" s="141"/>
      <c r="T100" s="457" t="s">
        <v>272</v>
      </c>
      <c r="U100" s="141"/>
      <c r="V100" s="457" t="s">
        <v>271</v>
      </c>
      <c r="W100" s="141"/>
      <c r="X100" s="457" t="s">
        <v>273</v>
      </c>
      <c r="Y100" s="457" t="s">
        <v>274</v>
      </c>
      <c r="Z100" s="457" t="str">
        <f t="shared" si="44"/>
        <v/>
      </c>
      <c r="AA100" s="458" t="s">
        <v>275</v>
      </c>
      <c r="AB100" s="459" t="str">
        <f t="shared" si="45"/>
        <v/>
      </c>
      <c r="AC100" s="460" t="str">
        <f>IFERROR(ROUNDDOWN(ROUNDDOWN(ROUND(L100*VLOOKUP(K100,【参考】数式用!$A$4:$F$57,MATCH("処遇改善加算Ⅳ",【参考】数式用!$C$3:$F$3,0)+2,0),0)*M100,0)*Z100*0.5,0), "")</f>
        <v/>
      </c>
      <c r="AD100" s="156"/>
      <c r="AE100" s="157"/>
      <c r="AF100" s="157"/>
      <c r="AG100" s="158"/>
      <c r="AH100" s="159"/>
      <c r="AI100" s="161"/>
      <c r="AJ100" s="161"/>
      <c r="AK100" s="542" t="str">
        <f t="shared" si="37"/>
        <v/>
      </c>
      <c r="AL100" s="543" t="str">
        <f t="shared" si="28"/>
        <v/>
      </c>
      <c r="AM100" s="544"/>
      <c r="AN100" s="548" t="str">
        <f>IFERROR(VLOOKUP(K100,【参考】数式用!$A$2:$N$57,14,FALSE),"")</f>
        <v/>
      </c>
      <c r="AO100" s="548" t="str">
        <f t="shared" si="29"/>
        <v/>
      </c>
      <c r="AP100" s="547" t="str">
        <f t="shared" si="30"/>
        <v/>
      </c>
      <c r="AQ100" s="547" t="str">
        <f t="shared" si="31"/>
        <v>入力済</v>
      </c>
      <c r="AR100" s="548" t="str">
        <f t="shared" si="32"/>
        <v/>
      </c>
      <c r="AS100" s="547" t="str">
        <f t="shared" si="33"/>
        <v>入力済</v>
      </c>
      <c r="AT100" s="547" t="str">
        <f t="shared" si="38"/>
        <v/>
      </c>
      <c r="AU100" s="547" t="str">
        <f t="shared" si="39"/>
        <v/>
      </c>
      <c r="AV100" s="548" t="str">
        <f t="shared" si="40"/>
        <v/>
      </c>
      <c r="AW100" s="548" t="str">
        <f t="shared" si="34"/>
        <v>入力済</v>
      </c>
      <c r="AX100" s="547" t="str">
        <f>IFERROR(VLOOKUP(K100,【参考】数式用!$AR$3:$AS$49,2, FALSE), "")</f>
        <v/>
      </c>
      <c r="AY100" s="548" t="str">
        <f t="shared" si="35"/>
        <v/>
      </c>
      <c r="AZ100" s="548" t="str">
        <f t="shared" si="41"/>
        <v>入力済</v>
      </c>
      <c r="BA100" s="547" t="str">
        <f>IFERROR(VLOOKUP(K100,【参考】数式用!$AX$3:$AY$56, 2, FALSE), "")</f>
        <v/>
      </c>
      <c r="BB100" s="548" t="str">
        <f t="shared" si="27"/>
        <v/>
      </c>
      <c r="BC100" s="648" t="str">
        <f t="shared" si="36"/>
        <v>入力済</v>
      </c>
      <c r="BD100" s="548" t="str">
        <f t="shared" si="42"/>
        <v/>
      </c>
      <c r="BE100" s="548" t="str">
        <f t="shared" si="43"/>
        <v/>
      </c>
      <c r="BF100" s="515"/>
      <c r="BG100" s="515"/>
      <c r="BH100" s="634" t="e">
        <f>VLOOKUP(K100,【参考】数式用!$A$2:$O$57,15,FALSE)</f>
        <v>#N/A</v>
      </c>
      <c r="BI100" s="515"/>
      <c r="BJ100" s="515"/>
      <c r="BK100" s="515"/>
      <c r="BL100" s="515"/>
      <c r="BM100" s="515"/>
      <c r="BN100" s="515"/>
      <c r="BO100" s="516"/>
    </row>
    <row r="101" spans="1:67" s="517" customFormat="1" ht="109.9" customHeight="1" thickBot="1">
      <c r="A101" s="454">
        <v>90</v>
      </c>
      <c r="B101" s="933" t="str">
        <f>IF(基本情報入力シート!B129="","",基本情報入力シート!B129)</f>
        <v/>
      </c>
      <c r="C101" s="934"/>
      <c r="D101" s="934"/>
      <c r="E101" s="934"/>
      <c r="F101" s="935"/>
      <c r="G101" s="455" t="str">
        <f>IF(基本情報入力シート!L129="", "", 基本情報入力シート!L129)</f>
        <v/>
      </c>
      <c r="H101" s="455" t="str">
        <f>IF(基本情報入力シート!Q129="", "", 基本情報入力シート!Q129)</f>
        <v/>
      </c>
      <c r="I101" s="455" t="str">
        <f>IF(基本情報入力シート!V129="", "", 基本情報入力シート!V129)</f>
        <v/>
      </c>
      <c r="J101" s="455" t="str">
        <f>IF(基本情報入力シート!W129="", "", 基本情報入力シート!W129)</f>
        <v/>
      </c>
      <c r="K101" s="455" t="str">
        <f>IF(基本情報入力シート!Z129="", "", 基本情報入力シート!Z129)</f>
        <v/>
      </c>
      <c r="L101" s="101" t="str">
        <f>IF(基本情報入力シート!AF129=0, "",基本情報入力シート!AF129)</f>
        <v/>
      </c>
      <c r="M101" s="142" t="str">
        <f>IF(基本情報入力シート!AG129="","",基本情報入力シート!AG129)</f>
        <v/>
      </c>
      <c r="N101" s="136"/>
      <c r="O101" s="155" t="str">
        <f>IFERROR(VLOOKUP(K101,【参考】数式用!$A$2:$F$57,MATCH(N101,【参考】数式用!$C$3:$F$3,0)+2,0),"")</f>
        <v/>
      </c>
      <c r="P101" s="456" t="s">
        <v>180</v>
      </c>
      <c r="Q101" s="141"/>
      <c r="R101" s="457" t="s">
        <v>271</v>
      </c>
      <c r="S101" s="141"/>
      <c r="T101" s="457" t="s">
        <v>272</v>
      </c>
      <c r="U101" s="141"/>
      <c r="V101" s="457" t="s">
        <v>271</v>
      </c>
      <c r="W101" s="141"/>
      <c r="X101" s="457" t="s">
        <v>273</v>
      </c>
      <c r="Y101" s="457" t="s">
        <v>274</v>
      </c>
      <c r="Z101" s="457" t="str">
        <f t="shared" si="44"/>
        <v/>
      </c>
      <c r="AA101" s="458" t="s">
        <v>275</v>
      </c>
      <c r="AB101" s="459" t="str">
        <f t="shared" si="45"/>
        <v/>
      </c>
      <c r="AC101" s="460" t="str">
        <f>IFERROR(ROUNDDOWN(ROUNDDOWN(ROUND(L101*VLOOKUP(K101,【参考】数式用!$A$4:$F$57,MATCH("処遇改善加算Ⅳ",【参考】数式用!$C$3:$F$3,0)+2,0),0)*M101,0)*Z101*0.5,0), "")</f>
        <v/>
      </c>
      <c r="AD101" s="156"/>
      <c r="AE101" s="157"/>
      <c r="AF101" s="157"/>
      <c r="AG101" s="158"/>
      <c r="AH101" s="159"/>
      <c r="AI101" s="161"/>
      <c r="AJ101" s="161"/>
      <c r="AK101" s="542" t="str">
        <f t="shared" si="37"/>
        <v/>
      </c>
      <c r="AL101" s="543" t="str">
        <f t="shared" si="28"/>
        <v/>
      </c>
      <c r="AM101" s="544"/>
      <c r="AN101" s="548" t="str">
        <f>IFERROR(VLOOKUP(K101,【参考】数式用!$A$2:$N$57,14,FALSE),"")</f>
        <v/>
      </c>
      <c r="AO101" s="548" t="str">
        <f t="shared" si="29"/>
        <v/>
      </c>
      <c r="AP101" s="547" t="str">
        <f t="shared" si="30"/>
        <v/>
      </c>
      <c r="AQ101" s="547" t="str">
        <f t="shared" si="31"/>
        <v>入力済</v>
      </c>
      <c r="AR101" s="548" t="str">
        <f t="shared" si="32"/>
        <v/>
      </c>
      <c r="AS101" s="547" t="str">
        <f t="shared" si="33"/>
        <v>入力済</v>
      </c>
      <c r="AT101" s="547" t="str">
        <f t="shared" si="38"/>
        <v/>
      </c>
      <c r="AU101" s="547" t="str">
        <f t="shared" si="39"/>
        <v/>
      </c>
      <c r="AV101" s="548" t="str">
        <f t="shared" si="40"/>
        <v/>
      </c>
      <c r="AW101" s="548" t="str">
        <f t="shared" si="34"/>
        <v>入力済</v>
      </c>
      <c r="AX101" s="547" t="str">
        <f>IFERROR(VLOOKUP(K101,【参考】数式用!$AR$3:$AS$49,2, FALSE), "")</f>
        <v/>
      </c>
      <c r="AY101" s="548" t="str">
        <f t="shared" si="35"/>
        <v/>
      </c>
      <c r="AZ101" s="548" t="str">
        <f t="shared" si="41"/>
        <v>入力済</v>
      </c>
      <c r="BA101" s="547" t="str">
        <f>IFERROR(VLOOKUP(K101,【参考】数式用!$AX$3:$AY$56, 2, FALSE), "")</f>
        <v/>
      </c>
      <c r="BB101" s="548" t="str">
        <f t="shared" si="27"/>
        <v/>
      </c>
      <c r="BC101" s="648" t="str">
        <f t="shared" si="36"/>
        <v>入力済</v>
      </c>
      <c r="BD101" s="548" t="str">
        <f t="shared" si="42"/>
        <v/>
      </c>
      <c r="BE101" s="548" t="str">
        <f t="shared" si="43"/>
        <v/>
      </c>
      <c r="BF101" s="515"/>
      <c r="BG101" s="515"/>
      <c r="BH101" s="634" t="e">
        <f>VLOOKUP(K101,【参考】数式用!$A$2:$O$57,15,FALSE)</f>
        <v>#N/A</v>
      </c>
      <c r="BI101" s="515"/>
      <c r="BJ101" s="515"/>
      <c r="BK101" s="515"/>
      <c r="BL101" s="515"/>
      <c r="BM101" s="515"/>
      <c r="BN101" s="515"/>
      <c r="BO101" s="516"/>
    </row>
    <row r="102" spans="1:67" s="517" customFormat="1" ht="109.9" customHeight="1" thickBot="1">
      <c r="A102" s="454">
        <v>91</v>
      </c>
      <c r="B102" s="933" t="str">
        <f>IF(基本情報入力シート!B130="","",基本情報入力シート!B130)</f>
        <v/>
      </c>
      <c r="C102" s="934"/>
      <c r="D102" s="934"/>
      <c r="E102" s="934"/>
      <c r="F102" s="935"/>
      <c r="G102" s="455" t="str">
        <f>IF(基本情報入力シート!L130="", "", 基本情報入力シート!L130)</f>
        <v/>
      </c>
      <c r="H102" s="455" t="str">
        <f>IF(基本情報入力シート!Q130="", "", 基本情報入力シート!Q130)</f>
        <v/>
      </c>
      <c r="I102" s="455" t="str">
        <f>IF(基本情報入力シート!V130="", "", 基本情報入力シート!V130)</f>
        <v/>
      </c>
      <c r="J102" s="455" t="str">
        <f>IF(基本情報入力シート!W130="", "", 基本情報入力シート!W130)</f>
        <v/>
      </c>
      <c r="K102" s="455" t="str">
        <f>IF(基本情報入力シート!Z130="", "", 基本情報入力シート!Z130)</f>
        <v/>
      </c>
      <c r="L102" s="101" t="str">
        <f>IF(基本情報入力シート!AF130=0, "",基本情報入力シート!AF130)</f>
        <v/>
      </c>
      <c r="M102" s="142" t="str">
        <f>IF(基本情報入力シート!AG130="","",基本情報入力シート!AG130)</f>
        <v/>
      </c>
      <c r="N102" s="136"/>
      <c r="O102" s="155" t="str">
        <f>IFERROR(VLOOKUP(K102,【参考】数式用!$A$2:$F$57,MATCH(N102,【参考】数式用!$C$3:$F$3,0)+2,0),"")</f>
        <v/>
      </c>
      <c r="P102" s="456" t="s">
        <v>180</v>
      </c>
      <c r="Q102" s="141"/>
      <c r="R102" s="457" t="s">
        <v>271</v>
      </c>
      <c r="S102" s="141"/>
      <c r="T102" s="457" t="s">
        <v>272</v>
      </c>
      <c r="U102" s="141"/>
      <c r="V102" s="457" t="s">
        <v>271</v>
      </c>
      <c r="W102" s="141"/>
      <c r="X102" s="457" t="s">
        <v>182</v>
      </c>
      <c r="Y102" s="457" t="s">
        <v>274</v>
      </c>
      <c r="Z102" s="457" t="str">
        <f t="shared" si="44"/>
        <v/>
      </c>
      <c r="AA102" s="458" t="s">
        <v>275</v>
      </c>
      <c r="AB102" s="459" t="str">
        <f t="shared" si="45"/>
        <v/>
      </c>
      <c r="AC102" s="460" t="str">
        <f>IFERROR(ROUNDDOWN(ROUNDDOWN(ROUND(L102*VLOOKUP(K102,【参考】数式用!$A$4:$F$57,MATCH("処遇改善加算Ⅳ",【参考】数式用!$C$3:$F$3,0)+2,0),0)*M102,0)*Z102*0.5,0), "")</f>
        <v/>
      </c>
      <c r="AD102" s="156"/>
      <c r="AE102" s="157"/>
      <c r="AF102" s="157"/>
      <c r="AG102" s="158"/>
      <c r="AH102" s="159"/>
      <c r="AI102" s="161"/>
      <c r="AJ102" s="161"/>
      <c r="AK102" s="542" t="str">
        <f t="shared" si="37"/>
        <v/>
      </c>
      <c r="AL102" s="543" t="str">
        <f t="shared" si="28"/>
        <v/>
      </c>
      <c r="AM102" s="544"/>
      <c r="AN102" s="548" t="str">
        <f>IFERROR(VLOOKUP(K102,【参考】数式用!$A$2:$N$57,14,FALSE),"")</f>
        <v/>
      </c>
      <c r="AO102" s="548" t="str">
        <f t="shared" si="29"/>
        <v/>
      </c>
      <c r="AP102" s="547" t="str">
        <f t="shared" si="30"/>
        <v/>
      </c>
      <c r="AQ102" s="547" t="str">
        <f t="shared" si="31"/>
        <v>入力済</v>
      </c>
      <c r="AR102" s="548" t="str">
        <f t="shared" si="32"/>
        <v/>
      </c>
      <c r="AS102" s="547" t="str">
        <f t="shared" si="33"/>
        <v>入力済</v>
      </c>
      <c r="AT102" s="547" t="str">
        <f t="shared" si="38"/>
        <v/>
      </c>
      <c r="AU102" s="547" t="str">
        <f t="shared" si="39"/>
        <v/>
      </c>
      <c r="AV102" s="548" t="str">
        <f t="shared" si="40"/>
        <v/>
      </c>
      <c r="AW102" s="548" t="str">
        <f t="shared" si="34"/>
        <v>入力済</v>
      </c>
      <c r="AX102" s="547" t="str">
        <f>IFERROR(VLOOKUP(K102,【参考】数式用!$AR$3:$AS$49,2, FALSE), "")</f>
        <v/>
      </c>
      <c r="AY102" s="548" t="str">
        <f t="shared" si="35"/>
        <v/>
      </c>
      <c r="AZ102" s="548" t="str">
        <f t="shared" si="41"/>
        <v>入力済</v>
      </c>
      <c r="BA102" s="547" t="str">
        <f>IFERROR(VLOOKUP(K102,【参考】数式用!$AX$3:$AY$56, 2, FALSE), "")</f>
        <v/>
      </c>
      <c r="BB102" s="548" t="str">
        <f t="shared" si="27"/>
        <v/>
      </c>
      <c r="BC102" s="648" t="str">
        <f t="shared" si="36"/>
        <v>入力済</v>
      </c>
      <c r="BD102" s="548" t="str">
        <f t="shared" si="42"/>
        <v/>
      </c>
      <c r="BE102" s="548" t="str">
        <f t="shared" si="43"/>
        <v/>
      </c>
      <c r="BF102" s="515"/>
      <c r="BG102" s="515"/>
      <c r="BH102" s="634" t="e">
        <f>VLOOKUP(K102,【参考】数式用!$A$2:$O$57,15,FALSE)</f>
        <v>#N/A</v>
      </c>
      <c r="BI102" s="515"/>
      <c r="BJ102" s="515"/>
      <c r="BK102" s="515"/>
      <c r="BL102" s="515"/>
      <c r="BM102" s="515"/>
      <c r="BN102" s="515"/>
      <c r="BO102" s="516"/>
    </row>
    <row r="103" spans="1:67" s="517" customFormat="1" ht="109.9" customHeight="1" thickBot="1">
      <c r="A103" s="454">
        <v>92</v>
      </c>
      <c r="B103" s="933" t="str">
        <f>IF(基本情報入力シート!B131="","",基本情報入力シート!B131)</f>
        <v/>
      </c>
      <c r="C103" s="934"/>
      <c r="D103" s="934"/>
      <c r="E103" s="934"/>
      <c r="F103" s="935"/>
      <c r="G103" s="455" t="str">
        <f>IF(基本情報入力シート!L131="", "", 基本情報入力シート!L131)</f>
        <v/>
      </c>
      <c r="H103" s="455" t="str">
        <f>IF(基本情報入力シート!Q131="", "", 基本情報入力シート!Q131)</f>
        <v/>
      </c>
      <c r="I103" s="455" t="str">
        <f>IF(基本情報入力シート!V131="", "", 基本情報入力シート!V131)</f>
        <v/>
      </c>
      <c r="J103" s="455" t="str">
        <f>IF(基本情報入力シート!W131="", "", 基本情報入力シート!W131)</f>
        <v/>
      </c>
      <c r="K103" s="455" t="str">
        <f>IF(基本情報入力シート!Z131="", "", 基本情報入力シート!Z131)</f>
        <v/>
      </c>
      <c r="L103" s="101" t="str">
        <f>IF(基本情報入力シート!AF131=0, "",基本情報入力シート!AF131)</f>
        <v/>
      </c>
      <c r="M103" s="142" t="str">
        <f>IF(基本情報入力シート!AG131="","",基本情報入力シート!AG131)</f>
        <v/>
      </c>
      <c r="N103" s="136"/>
      <c r="O103" s="155" t="str">
        <f>IFERROR(VLOOKUP(K103,【参考】数式用!$A$2:$F$57,MATCH(N103,【参考】数式用!$C$3:$F$3,0)+2,0),"")</f>
        <v/>
      </c>
      <c r="P103" s="456" t="s">
        <v>180</v>
      </c>
      <c r="Q103" s="141"/>
      <c r="R103" s="457" t="s">
        <v>271</v>
      </c>
      <c r="S103" s="141"/>
      <c r="T103" s="457" t="s">
        <v>272</v>
      </c>
      <c r="U103" s="141"/>
      <c r="V103" s="457" t="s">
        <v>271</v>
      </c>
      <c r="W103" s="141"/>
      <c r="X103" s="457" t="s">
        <v>273</v>
      </c>
      <c r="Y103" s="457" t="s">
        <v>274</v>
      </c>
      <c r="Z103" s="457" t="str">
        <f t="shared" si="44"/>
        <v/>
      </c>
      <c r="AA103" s="458" t="s">
        <v>275</v>
      </c>
      <c r="AB103" s="459" t="str">
        <f t="shared" si="45"/>
        <v/>
      </c>
      <c r="AC103" s="460" t="str">
        <f>IFERROR(ROUNDDOWN(ROUNDDOWN(ROUND(L103*VLOOKUP(K103,【参考】数式用!$A$4:$F$57,MATCH("処遇改善加算Ⅳ",【参考】数式用!$C$3:$F$3,0)+2,0),0)*M103,0)*Z103*0.5,0), "")</f>
        <v/>
      </c>
      <c r="AD103" s="156"/>
      <c r="AE103" s="157"/>
      <c r="AF103" s="157"/>
      <c r="AG103" s="158"/>
      <c r="AH103" s="159"/>
      <c r="AI103" s="161"/>
      <c r="AJ103" s="161"/>
      <c r="AK103" s="542" t="str">
        <f t="shared" si="37"/>
        <v/>
      </c>
      <c r="AL103" s="543" t="str">
        <f t="shared" si="28"/>
        <v/>
      </c>
      <c r="AM103" s="544"/>
      <c r="AN103" s="548" t="str">
        <f>IFERROR(VLOOKUP(K103,【参考】数式用!$A$2:$N$57,14,FALSE),"")</f>
        <v/>
      </c>
      <c r="AO103" s="548" t="str">
        <f t="shared" si="29"/>
        <v/>
      </c>
      <c r="AP103" s="547" t="str">
        <f t="shared" si="30"/>
        <v/>
      </c>
      <c r="AQ103" s="547" t="str">
        <f t="shared" si="31"/>
        <v>入力済</v>
      </c>
      <c r="AR103" s="548" t="str">
        <f t="shared" si="32"/>
        <v/>
      </c>
      <c r="AS103" s="547" t="str">
        <f t="shared" si="33"/>
        <v>入力済</v>
      </c>
      <c r="AT103" s="547" t="str">
        <f t="shared" si="38"/>
        <v/>
      </c>
      <c r="AU103" s="547" t="str">
        <f t="shared" si="39"/>
        <v/>
      </c>
      <c r="AV103" s="548" t="str">
        <f t="shared" si="40"/>
        <v/>
      </c>
      <c r="AW103" s="548" t="str">
        <f t="shared" si="34"/>
        <v>入力済</v>
      </c>
      <c r="AX103" s="547" t="str">
        <f>IFERROR(VLOOKUP(K103,【参考】数式用!$AR$3:$AS$49,2, FALSE), "")</f>
        <v/>
      </c>
      <c r="AY103" s="548" t="str">
        <f t="shared" si="35"/>
        <v/>
      </c>
      <c r="AZ103" s="548" t="str">
        <f t="shared" si="41"/>
        <v>入力済</v>
      </c>
      <c r="BA103" s="547" t="str">
        <f>IFERROR(VLOOKUP(K103,【参考】数式用!$AX$3:$AY$56, 2, FALSE), "")</f>
        <v/>
      </c>
      <c r="BB103" s="548" t="str">
        <f t="shared" si="27"/>
        <v/>
      </c>
      <c r="BC103" s="648" t="str">
        <f t="shared" si="36"/>
        <v>入力済</v>
      </c>
      <c r="BD103" s="548" t="str">
        <f t="shared" si="42"/>
        <v/>
      </c>
      <c r="BE103" s="548" t="str">
        <f t="shared" si="43"/>
        <v/>
      </c>
      <c r="BF103" s="515"/>
      <c r="BG103" s="515"/>
      <c r="BH103" s="634" t="e">
        <f>VLOOKUP(K103,【参考】数式用!$A$2:$O$57,15,FALSE)</f>
        <v>#N/A</v>
      </c>
      <c r="BI103" s="515"/>
      <c r="BJ103" s="515"/>
      <c r="BK103" s="515"/>
      <c r="BL103" s="515"/>
      <c r="BM103" s="515"/>
      <c r="BN103" s="515"/>
      <c r="BO103" s="516"/>
    </row>
    <row r="104" spans="1:67" s="517" customFormat="1" ht="109.9" customHeight="1" thickBot="1">
      <c r="A104" s="454">
        <v>93</v>
      </c>
      <c r="B104" s="933" t="str">
        <f>IF(基本情報入力シート!B132="","",基本情報入力シート!B132)</f>
        <v/>
      </c>
      <c r="C104" s="934"/>
      <c r="D104" s="934"/>
      <c r="E104" s="934"/>
      <c r="F104" s="935"/>
      <c r="G104" s="455" t="str">
        <f>IF(基本情報入力シート!L132="", "", 基本情報入力シート!L132)</f>
        <v/>
      </c>
      <c r="H104" s="455" t="str">
        <f>IF(基本情報入力シート!Q132="", "", 基本情報入力シート!Q132)</f>
        <v/>
      </c>
      <c r="I104" s="455" t="str">
        <f>IF(基本情報入力シート!V132="", "", 基本情報入力シート!V132)</f>
        <v/>
      </c>
      <c r="J104" s="455" t="str">
        <f>IF(基本情報入力シート!W132="", "", 基本情報入力シート!W132)</f>
        <v/>
      </c>
      <c r="K104" s="455" t="str">
        <f>IF(基本情報入力シート!Z132="", "", 基本情報入力シート!Z132)</f>
        <v/>
      </c>
      <c r="L104" s="101" t="str">
        <f>IF(基本情報入力シート!AF132=0, "",基本情報入力シート!AF132)</f>
        <v/>
      </c>
      <c r="M104" s="142" t="str">
        <f>IF(基本情報入力シート!AG132="","",基本情報入力シート!AG132)</f>
        <v/>
      </c>
      <c r="N104" s="136"/>
      <c r="O104" s="155" t="str">
        <f>IFERROR(VLOOKUP(K104,【参考】数式用!$A$2:$F$57,MATCH(N104,【参考】数式用!$C$3:$F$3,0)+2,0),"")</f>
        <v/>
      </c>
      <c r="P104" s="456" t="s">
        <v>180</v>
      </c>
      <c r="Q104" s="141"/>
      <c r="R104" s="457" t="s">
        <v>271</v>
      </c>
      <c r="S104" s="141"/>
      <c r="T104" s="457" t="s">
        <v>272</v>
      </c>
      <c r="U104" s="141"/>
      <c r="V104" s="457" t="s">
        <v>271</v>
      </c>
      <c r="W104" s="141"/>
      <c r="X104" s="457" t="s">
        <v>273</v>
      </c>
      <c r="Y104" s="457" t="s">
        <v>274</v>
      </c>
      <c r="Z104" s="457" t="str">
        <f t="shared" si="44"/>
        <v/>
      </c>
      <c r="AA104" s="458" t="s">
        <v>275</v>
      </c>
      <c r="AB104" s="459" t="str">
        <f t="shared" si="45"/>
        <v/>
      </c>
      <c r="AC104" s="460" t="str">
        <f>IFERROR(ROUNDDOWN(ROUNDDOWN(ROUND(L104*VLOOKUP(K104,【参考】数式用!$A$4:$F$57,MATCH("処遇改善加算Ⅳ",【参考】数式用!$C$3:$F$3,0)+2,0),0)*M104,0)*Z104*0.5,0), "")</f>
        <v/>
      </c>
      <c r="AD104" s="156"/>
      <c r="AE104" s="157"/>
      <c r="AF104" s="157"/>
      <c r="AG104" s="158"/>
      <c r="AH104" s="159"/>
      <c r="AI104" s="161"/>
      <c r="AJ104" s="161"/>
      <c r="AK104" s="542" t="str">
        <f t="shared" si="37"/>
        <v/>
      </c>
      <c r="AL104" s="543" t="str">
        <f t="shared" si="28"/>
        <v/>
      </c>
      <c r="AM104" s="544"/>
      <c r="AN104" s="548" t="str">
        <f>IFERROR(VLOOKUP(K104,【参考】数式用!$A$2:$N$57,14,FALSE),"")</f>
        <v/>
      </c>
      <c r="AO104" s="548" t="str">
        <f t="shared" si="29"/>
        <v/>
      </c>
      <c r="AP104" s="547" t="str">
        <f t="shared" si="30"/>
        <v/>
      </c>
      <c r="AQ104" s="547" t="str">
        <f t="shared" si="31"/>
        <v>入力済</v>
      </c>
      <c r="AR104" s="548" t="str">
        <f t="shared" si="32"/>
        <v/>
      </c>
      <c r="AS104" s="547" t="str">
        <f t="shared" si="33"/>
        <v>入力済</v>
      </c>
      <c r="AT104" s="547" t="str">
        <f t="shared" si="38"/>
        <v/>
      </c>
      <c r="AU104" s="547" t="str">
        <f t="shared" si="39"/>
        <v/>
      </c>
      <c r="AV104" s="548" t="str">
        <f t="shared" si="40"/>
        <v/>
      </c>
      <c r="AW104" s="548" t="str">
        <f t="shared" si="34"/>
        <v>入力済</v>
      </c>
      <c r="AX104" s="547" t="str">
        <f>IFERROR(VLOOKUP(K104,【参考】数式用!$AR$3:$AS$49,2, FALSE), "")</f>
        <v/>
      </c>
      <c r="AY104" s="548" t="str">
        <f t="shared" si="35"/>
        <v/>
      </c>
      <c r="AZ104" s="548" t="str">
        <f t="shared" si="41"/>
        <v>入力済</v>
      </c>
      <c r="BA104" s="547" t="str">
        <f>IFERROR(VLOOKUP(K104,【参考】数式用!$AX$3:$AY$56, 2, FALSE), "")</f>
        <v/>
      </c>
      <c r="BB104" s="548" t="str">
        <f t="shared" si="27"/>
        <v/>
      </c>
      <c r="BC104" s="648" t="str">
        <f t="shared" si="36"/>
        <v>入力済</v>
      </c>
      <c r="BD104" s="548" t="str">
        <f t="shared" si="42"/>
        <v/>
      </c>
      <c r="BE104" s="548" t="str">
        <f t="shared" si="43"/>
        <v/>
      </c>
      <c r="BF104" s="515"/>
      <c r="BG104" s="515"/>
      <c r="BH104" s="634" t="e">
        <f>VLOOKUP(K104,【参考】数式用!$A$2:$O$57,15,FALSE)</f>
        <v>#N/A</v>
      </c>
      <c r="BI104" s="515"/>
      <c r="BJ104" s="515"/>
      <c r="BK104" s="515"/>
      <c r="BL104" s="515"/>
      <c r="BM104" s="515"/>
      <c r="BN104" s="515"/>
      <c r="BO104" s="516"/>
    </row>
    <row r="105" spans="1:67" s="517" customFormat="1" ht="109.9" customHeight="1" thickBot="1">
      <c r="A105" s="454">
        <v>94</v>
      </c>
      <c r="B105" s="933" t="str">
        <f>IF(基本情報入力シート!B133="","",基本情報入力シート!B133)</f>
        <v/>
      </c>
      <c r="C105" s="934"/>
      <c r="D105" s="934"/>
      <c r="E105" s="934"/>
      <c r="F105" s="935"/>
      <c r="G105" s="455" t="str">
        <f>IF(基本情報入力シート!L133="", "", 基本情報入力シート!L133)</f>
        <v/>
      </c>
      <c r="H105" s="455" t="str">
        <f>IF(基本情報入力シート!Q133="", "", 基本情報入力シート!Q133)</f>
        <v/>
      </c>
      <c r="I105" s="455" t="str">
        <f>IF(基本情報入力シート!V133="", "", 基本情報入力シート!V133)</f>
        <v/>
      </c>
      <c r="J105" s="455" t="str">
        <f>IF(基本情報入力シート!W133="", "", 基本情報入力シート!W133)</f>
        <v/>
      </c>
      <c r="K105" s="455" t="str">
        <f>IF(基本情報入力シート!Z133="", "", 基本情報入力シート!Z133)</f>
        <v/>
      </c>
      <c r="L105" s="101" t="str">
        <f>IF(基本情報入力シート!AF133=0, "",基本情報入力シート!AF133)</f>
        <v/>
      </c>
      <c r="M105" s="142" t="str">
        <f>IF(基本情報入力シート!AG133="","",基本情報入力シート!AG133)</f>
        <v/>
      </c>
      <c r="N105" s="136"/>
      <c r="O105" s="155" t="str">
        <f>IFERROR(VLOOKUP(K105,【参考】数式用!$A$2:$F$57,MATCH(N105,【参考】数式用!$C$3:$F$3,0)+2,0),"")</f>
        <v/>
      </c>
      <c r="P105" s="456" t="s">
        <v>180</v>
      </c>
      <c r="Q105" s="141"/>
      <c r="R105" s="457" t="s">
        <v>271</v>
      </c>
      <c r="S105" s="141"/>
      <c r="T105" s="457" t="s">
        <v>272</v>
      </c>
      <c r="U105" s="141"/>
      <c r="V105" s="457" t="s">
        <v>271</v>
      </c>
      <c r="W105" s="141"/>
      <c r="X105" s="457" t="s">
        <v>273</v>
      </c>
      <c r="Y105" s="457" t="s">
        <v>274</v>
      </c>
      <c r="Z105" s="457" t="str">
        <f t="shared" si="44"/>
        <v/>
      </c>
      <c r="AA105" s="458" t="s">
        <v>275</v>
      </c>
      <c r="AB105" s="459" t="str">
        <f t="shared" si="45"/>
        <v/>
      </c>
      <c r="AC105" s="460" t="str">
        <f>IFERROR(ROUNDDOWN(ROUNDDOWN(ROUND(L105*VLOOKUP(K105,【参考】数式用!$A$4:$F$57,MATCH("処遇改善加算Ⅳ",【参考】数式用!$C$3:$F$3,0)+2,0),0)*M105,0)*Z105*0.5,0), "")</f>
        <v/>
      </c>
      <c r="AD105" s="156"/>
      <c r="AE105" s="157"/>
      <c r="AF105" s="157"/>
      <c r="AG105" s="158"/>
      <c r="AH105" s="159"/>
      <c r="AI105" s="161"/>
      <c r="AJ105" s="161"/>
      <c r="AK105" s="542" t="str">
        <f t="shared" si="37"/>
        <v/>
      </c>
      <c r="AL105" s="543" t="str">
        <f t="shared" si="28"/>
        <v/>
      </c>
      <c r="AM105" s="544"/>
      <c r="AN105" s="548" t="str">
        <f>IFERROR(VLOOKUP(K105,【参考】数式用!$A$2:$N$57,14,FALSE),"")</f>
        <v/>
      </c>
      <c r="AO105" s="548" t="str">
        <f t="shared" si="29"/>
        <v/>
      </c>
      <c r="AP105" s="547" t="str">
        <f t="shared" si="30"/>
        <v/>
      </c>
      <c r="AQ105" s="547" t="str">
        <f t="shared" si="31"/>
        <v>入力済</v>
      </c>
      <c r="AR105" s="548" t="str">
        <f t="shared" si="32"/>
        <v/>
      </c>
      <c r="AS105" s="547" t="str">
        <f t="shared" si="33"/>
        <v>入力済</v>
      </c>
      <c r="AT105" s="547" t="str">
        <f t="shared" si="38"/>
        <v/>
      </c>
      <c r="AU105" s="547" t="str">
        <f t="shared" si="39"/>
        <v/>
      </c>
      <c r="AV105" s="548" t="str">
        <f t="shared" si="40"/>
        <v/>
      </c>
      <c r="AW105" s="548" t="str">
        <f t="shared" si="34"/>
        <v>入力済</v>
      </c>
      <c r="AX105" s="547" t="str">
        <f>IFERROR(VLOOKUP(K105,【参考】数式用!$AR$3:$AS$49,2, FALSE), "")</f>
        <v/>
      </c>
      <c r="AY105" s="548" t="str">
        <f t="shared" si="35"/>
        <v/>
      </c>
      <c r="AZ105" s="548" t="str">
        <f t="shared" si="41"/>
        <v>入力済</v>
      </c>
      <c r="BA105" s="547" t="str">
        <f>IFERROR(VLOOKUP(K105,【参考】数式用!$AX$3:$AY$56, 2, FALSE), "")</f>
        <v/>
      </c>
      <c r="BB105" s="548" t="str">
        <f t="shared" si="27"/>
        <v/>
      </c>
      <c r="BC105" s="648" t="str">
        <f t="shared" si="36"/>
        <v>入力済</v>
      </c>
      <c r="BD105" s="548" t="str">
        <f t="shared" si="42"/>
        <v/>
      </c>
      <c r="BE105" s="548" t="str">
        <f t="shared" si="43"/>
        <v/>
      </c>
      <c r="BF105" s="515"/>
      <c r="BG105" s="515"/>
      <c r="BH105" s="634" t="e">
        <f>VLOOKUP(K105,【参考】数式用!$A$2:$O$57,15,FALSE)</f>
        <v>#N/A</v>
      </c>
      <c r="BI105" s="515"/>
      <c r="BJ105" s="515"/>
      <c r="BK105" s="515"/>
      <c r="BL105" s="515"/>
      <c r="BM105" s="515"/>
      <c r="BN105" s="515"/>
      <c r="BO105" s="516"/>
    </row>
    <row r="106" spans="1:67" s="517" customFormat="1" ht="109.9" customHeight="1" thickBot="1">
      <c r="A106" s="454">
        <v>95</v>
      </c>
      <c r="B106" s="933" t="str">
        <f>IF(基本情報入力シート!B134="","",基本情報入力シート!B134)</f>
        <v/>
      </c>
      <c r="C106" s="934"/>
      <c r="D106" s="934"/>
      <c r="E106" s="934"/>
      <c r="F106" s="935"/>
      <c r="G106" s="455" t="str">
        <f>IF(基本情報入力シート!L134="", "", 基本情報入力シート!L134)</f>
        <v/>
      </c>
      <c r="H106" s="455" t="str">
        <f>IF(基本情報入力シート!Q134="", "", 基本情報入力シート!Q134)</f>
        <v/>
      </c>
      <c r="I106" s="455" t="str">
        <f>IF(基本情報入力シート!V134="", "", 基本情報入力シート!V134)</f>
        <v/>
      </c>
      <c r="J106" s="455" t="str">
        <f>IF(基本情報入力シート!W134="", "", 基本情報入力シート!W134)</f>
        <v/>
      </c>
      <c r="K106" s="455" t="str">
        <f>IF(基本情報入力シート!Z134="", "", 基本情報入力シート!Z134)</f>
        <v/>
      </c>
      <c r="L106" s="101" t="str">
        <f>IF(基本情報入力シート!AF134=0, "",基本情報入力シート!AF134)</f>
        <v/>
      </c>
      <c r="M106" s="142" t="str">
        <f>IF(基本情報入力シート!AG134="","",基本情報入力シート!AG134)</f>
        <v/>
      </c>
      <c r="N106" s="136"/>
      <c r="O106" s="155" t="str">
        <f>IFERROR(VLOOKUP(K106,【参考】数式用!$A$2:$F$57,MATCH(N106,【参考】数式用!$C$3:$F$3,0)+2,0),"")</f>
        <v/>
      </c>
      <c r="P106" s="456" t="s">
        <v>180</v>
      </c>
      <c r="Q106" s="141"/>
      <c r="R106" s="457" t="s">
        <v>271</v>
      </c>
      <c r="S106" s="141"/>
      <c r="T106" s="457" t="s">
        <v>272</v>
      </c>
      <c r="U106" s="141"/>
      <c r="V106" s="457" t="s">
        <v>271</v>
      </c>
      <c r="W106" s="141"/>
      <c r="X106" s="457" t="s">
        <v>182</v>
      </c>
      <c r="Y106" s="457" t="s">
        <v>274</v>
      </c>
      <c r="Z106" s="457" t="str">
        <f t="shared" si="44"/>
        <v/>
      </c>
      <c r="AA106" s="458" t="s">
        <v>275</v>
      </c>
      <c r="AB106" s="459" t="str">
        <f t="shared" si="45"/>
        <v/>
      </c>
      <c r="AC106" s="460" t="str">
        <f>IFERROR(ROUNDDOWN(ROUNDDOWN(ROUND(L106*VLOOKUP(K106,【参考】数式用!$A$4:$F$57,MATCH("処遇改善加算Ⅳ",【参考】数式用!$C$3:$F$3,0)+2,0),0)*M106,0)*Z106*0.5,0), "")</f>
        <v/>
      </c>
      <c r="AD106" s="156"/>
      <c r="AE106" s="157"/>
      <c r="AF106" s="157"/>
      <c r="AG106" s="158"/>
      <c r="AH106" s="159"/>
      <c r="AI106" s="161"/>
      <c r="AJ106" s="161"/>
      <c r="AK106" s="542" t="str">
        <f t="shared" si="37"/>
        <v/>
      </c>
      <c r="AL106" s="543" t="str">
        <f t="shared" si="28"/>
        <v/>
      </c>
      <c r="AM106" s="544"/>
      <c r="AN106" s="548" t="str">
        <f>IFERROR(VLOOKUP(K106,【参考】数式用!$A$2:$N$57,14,FALSE),"")</f>
        <v/>
      </c>
      <c r="AO106" s="548" t="str">
        <f t="shared" si="29"/>
        <v/>
      </c>
      <c r="AP106" s="547" t="str">
        <f t="shared" si="30"/>
        <v/>
      </c>
      <c r="AQ106" s="547" t="str">
        <f t="shared" si="31"/>
        <v>入力済</v>
      </c>
      <c r="AR106" s="548" t="str">
        <f t="shared" si="32"/>
        <v/>
      </c>
      <c r="AS106" s="547" t="str">
        <f t="shared" si="33"/>
        <v>入力済</v>
      </c>
      <c r="AT106" s="547" t="str">
        <f t="shared" si="38"/>
        <v/>
      </c>
      <c r="AU106" s="547" t="str">
        <f t="shared" si="39"/>
        <v/>
      </c>
      <c r="AV106" s="548" t="str">
        <f t="shared" si="40"/>
        <v/>
      </c>
      <c r="AW106" s="548" t="str">
        <f t="shared" si="34"/>
        <v>入力済</v>
      </c>
      <c r="AX106" s="547" t="str">
        <f>IFERROR(VLOOKUP(K106,【参考】数式用!$AR$3:$AS$49,2, FALSE), "")</f>
        <v/>
      </c>
      <c r="AY106" s="548" t="str">
        <f t="shared" si="35"/>
        <v/>
      </c>
      <c r="AZ106" s="548" t="str">
        <f t="shared" si="41"/>
        <v>入力済</v>
      </c>
      <c r="BA106" s="547" t="str">
        <f>IFERROR(VLOOKUP(K106,【参考】数式用!$AX$3:$AY$56, 2, FALSE), "")</f>
        <v/>
      </c>
      <c r="BB106" s="548" t="str">
        <f t="shared" si="27"/>
        <v/>
      </c>
      <c r="BC106" s="648" t="str">
        <f t="shared" si="36"/>
        <v>入力済</v>
      </c>
      <c r="BD106" s="548" t="str">
        <f t="shared" si="42"/>
        <v/>
      </c>
      <c r="BE106" s="548" t="str">
        <f t="shared" si="43"/>
        <v/>
      </c>
      <c r="BF106" s="515"/>
      <c r="BG106" s="515"/>
      <c r="BH106" s="634" t="e">
        <f>VLOOKUP(K106,【参考】数式用!$A$2:$O$57,15,FALSE)</f>
        <v>#N/A</v>
      </c>
      <c r="BI106" s="515"/>
      <c r="BJ106" s="515"/>
      <c r="BK106" s="515"/>
      <c r="BL106" s="515"/>
      <c r="BM106" s="515"/>
      <c r="BN106" s="515"/>
      <c r="BO106" s="516"/>
    </row>
    <row r="107" spans="1:67" s="517" customFormat="1" ht="109.9" customHeight="1" thickBot="1">
      <c r="A107" s="454">
        <v>96</v>
      </c>
      <c r="B107" s="933" t="str">
        <f>IF(基本情報入力シート!B135="","",基本情報入力シート!B135)</f>
        <v/>
      </c>
      <c r="C107" s="934"/>
      <c r="D107" s="934"/>
      <c r="E107" s="934"/>
      <c r="F107" s="935"/>
      <c r="G107" s="455" t="str">
        <f>IF(基本情報入力シート!L135="", "", 基本情報入力シート!L135)</f>
        <v/>
      </c>
      <c r="H107" s="455" t="str">
        <f>IF(基本情報入力シート!Q135="", "", 基本情報入力シート!Q135)</f>
        <v/>
      </c>
      <c r="I107" s="455" t="str">
        <f>IF(基本情報入力シート!V135="", "", 基本情報入力シート!V135)</f>
        <v/>
      </c>
      <c r="J107" s="455" t="str">
        <f>IF(基本情報入力シート!W135="", "", 基本情報入力シート!W135)</f>
        <v/>
      </c>
      <c r="K107" s="455" t="str">
        <f>IF(基本情報入力シート!Z135="", "", 基本情報入力シート!Z135)</f>
        <v/>
      </c>
      <c r="L107" s="101" t="str">
        <f>IF(基本情報入力シート!AF135=0, "",基本情報入力シート!AF135)</f>
        <v/>
      </c>
      <c r="M107" s="142" t="str">
        <f>IF(基本情報入力シート!AG135="","",基本情報入力シート!AG135)</f>
        <v/>
      </c>
      <c r="N107" s="136"/>
      <c r="O107" s="155" t="str">
        <f>IFERROR(VLOOKUP(K107,【参考】数式用!$A$2:$F$57,MATCH(N107,【参考】数式用!$C$3:$F$3,0)+2,0),"")</f>
        <v/>
      </c>
      <c r="P107" s="456" t="s">
        <v>180</v>
      </c>
      <c r="Q107" s="141"/>
      <c r="R107" s="457" t="s">
        <v>271</v>
      </c>
      <c r="S107" s="141"/>
      <c r="T107" s="457" t="s">
        <v>272</v>
      </c>
      <c r="U107" s="141"/>
      <c r="V107" s="457" t="s">
        <v>271</v>
      </c>
      <c r="W107" s="141"/>
      <c r="X107" s="457" t="s">
        <v>182</v>
      </c>
      <c r="Y107" s="457" t="s">
        <v>274</v>
      </c>
      <c r="Z107" s="457" t="str">
        <f t="shared" si="44"/>
        <v/>
      </c>
      <c r="AA107" s="458" t="s">
        <v>275</v>
      </c>
      <c r="AB107" s="459" t="str">
        <f t="shared" si="45"/>
        <v/>
      </c>
      <c r="AC107" s="460" t="str">
        <f>IFERROR(ROUNDDOWN(ROUNDDOWN(ROUND(L107*VLOOKUP(K107,【参考】数式用!$A$4:$F$57,MATCH("処遇改善加算Ⅳ",【参考】数式用!$C$3:$F$3,0)+2,0),0)*M107,0)*Z107*0.5,0), "")</f>
        <v/>
      </c>
      <c r="AD107" s="156"/>
      <c r="AE107" s="157"/>
      <c r="AF107" s="157"/>
      <c r="AG107" s="158"/>
      <c r="AH107" s="159"/>
      <c r="AI107" s="161"/>
      <c r="AJ107" s="161"/>
      <c r="AK107" s="542" t="str">
        <f t="shared" si="37"/>
        <v/>
      </c>
      <c r="AL107" s="543" t="str">
        <f t="shared" si="28"/>
        <v/>
      </c>
      <c r="AM107" s="544"/>
      <c r="AN107" s="548" t="str">
        <f>IFERROR(VLOOKUP(K107,【参考】数式用!$A$2:$N$57,14,FALSE),"")</f>
        <v/>
      </c>
      <c r="AO107" s="548" t="str">
        <f t="shared" si="29"/>
        <v/>
      </c>
      <c r="AP107" s="547" t="str">
        <f t="shared" si="30"/>
        <v/>
      </c>
      <c r="AQ107" s="547" t="str">
        <f t="shared" si="31"/>
        <v>入力済</v>
      </c>
      <c r="AR107" s="548" t="str">
        <f t="shared" si="32"/>
        <v/>
      </c>
      <c r="AS107" s="547" t="str">
        <f t="shared" si="33"/>
        <v>入力済</v>
      </c>
      <c r="AT107" s="547" t="str">
        <f t="shared" si="38"/>
        <v/>
      </c>
      <c r="AU107" s="547" t="str">
        <f t="shared" si="39"/>
        <v/>
      </c>
      <c r="AV107" s="548" t="str">
        <f t="shared" si="40"/>
        <v/>
      </c>
      <c r="AW107" s="548" t="str">
        <f t="shared" si="34"/>
        <v>入力済</v>
      </c>
      <c r="AX107" s="547" t="str">
        <f>IFERROR(VLOOKUP(K107,【参考】数式用!$AR$3:$AS$49,2, FALSE), "")</f>
        <v/>
      </c>
      <c r="AY107" s="548" t="str">
        <f t="shared" si="35"/>
        <v/>
      </c>
      <c r="AZ107" s="548" t="str">
        <f t="shared" si="41"/>
        <v>入力済</v>
      </c>
      <c r="BA107" s="547" t="str">
        <f>IFERROR(VLOOKUP(K107,【参考】数式用!$AX$3:$AY$56, 2, FALSE), "")</f>
        <v/>
      </c>
      <c r="BB107" s="548" t="str">
        <f t="shared" si="27"/>
        <v/>
      </c>
      <c r="BC107" s="648" t="str">
        <f t="shared" si="36"/>
        <v>入力済</v>
      </c>
      <c r="BD107" s="548" t="str">
        <f t="shared" si="42"/>
        <v/>
      </c>
      <c r="BE107" s="548" t="str">
        <f t="shared" si="43"/>
        <v/>
      </c>
      <c r="BF107" s="515"/>
      <c r="BG107" s="515"/>
      <c r="BH107" s="634" t="e">
        <f>VLOOKUP(K107,【参考】数式用!$A$2:$O$57,15,FALSE)</f>
        <v>#N/A</v>
      </c>
      <c r="BI107" s="515"/>
      <c r="BJ107" s="515"/>
      <c r="BK107" s="515"/>
      <c r="BL107" s="515"/>
      <c r="BM107" s="515"/>
      <c r="BN107" s="515"/>
      <c r="BO107" s="516"/>
    </row>
    <row r="108" spans="1:67" s="517" customFormat="1" ht="109.9" customHeight="1" thickBot="1">
      <c r="A108" s="454">
        <v>97</v>
      </c>
      <c r="B108" s="933" t="str">
        <f>IF(基本情報入力シート!B136="","",基本情報入力シート!B136)</f>
        <v/>
      </c>
      <c r="C108" s="934"/>
      <c r="D108" s="934"/>
      <c r="E108" s="934"/>
      <c r="F108" s="935"/>
      <c r="G108" s="455" t="str">
        <f>IF(基本情報入力シート!L136="", "", 基本情報入力シート!L136)</f>
        <v/>
      </c>
      <c r="H108" s="455" t="str">
        <f>IF(基本情報入力シート!Q136="", "", 基本情報入力シート!Q136)</f>
        <v/>
      </c>
      <c r="I108" s="455" t="str">
        <f>IF(基本情報入力シート!V136="", "", 基本情報入力シート!V136)</f>
        <v/>
      </c>
      <c r="J108" s="455" t="str">
        <f>IF(基本情報入力シート!W136="", "", 基本情報入力シート!W136)</f>
        <v/>
      </c>
      <c r="K108" s="455" t="str">
        <f>IF(基本情報入力シート!Z136="", "", 基本情報入力シート!Z136)</f>
        <v/>
      </c>
      <c r="L108" s="101" t="str">
        <f>IF(基本情報入力シート!AF136=0, "",基本情報入力シート!AF136)</f>
        <v/>
      </c>
      <c r="M108" s="142" t="str">
        <f>IF(基本情報入力シート!AG136="","",基本情報入力シート!AG136)</f>
        <v/>
      </c>
      <c r="N108" s="136"/>
      <c r="O108" s="155" t="str">
        <f>IFERROR(VLOOKUP(K108,【参考】数式用!$A$2:$F$57,MATCH(N108,【参考】数式用!$C$3:$F$3,0)+2,0),"")</f>
        <v/>
      </c>
      <c r="P108" s="456" t="s">
        <v>180</v>
      </c>
      <c r="Q108" s="141"/>
      <c r="R108" s="457" t="s">
        <v>271</v>
      </c>
      <c r="S108" s="141"/>
      <c r="T108" s="457" t="s">
        <v>272</v>
      </c>
      <c r="U108" s="141"/>
      <c r="V108" s="457" t="s">
        <v>271</v>
      </c>
      <c r="W108" s="141"/>
      <c r="X108" s="457" t="s">
        <v>273</v>
      </c>
      <c r="Y108" s="457" t="s">
        <v>274</v>
      </c>
      <c r="Z108" s="457" t="str">
        <f t="shared" si="44"/>
        <v/>
      </c>
      <c r="AA108" s="458" t="s">
        <v>275</v>
      </c>
      <c r="AB108" s="459" t="str">
        <f t="shared" si="45"/>
        <v/>
      </c>
      <c r="AC108" s="460" t="str">
        <f>IFERROR(ROUNDDOWN(ROUNDDOWN(ROUND(L108*VLOOKUP(K108,【参考】数式用!$A$4:$F$57,MATCH("処遇改善加算Ⅳ",【参考】数式用!$C$3:$F$3,0)+2,0),0)*M108,0)*Z108*0.5,0), "")</f>
        <v/>
      </c>
      <c r="AD108" s="156"/>
      <c r="AE108" s="157"/>
      <c r="AF108" s="157"/>
      <c r="AG108" s="158"/>
      <c r="AH108" s="159"/>
      <c r="AI108" s="161"/>
      <c r="AJ108" s="161"/>
      <c r="AK108" s="542" t="str">
        <f t="shared" si="37"/>
        <v/>
      </c>
      <c r="AL108" s="543" t="str">
        <f t="shared" si="28"/>
        <v/>
      </c>
      <c r="AM108" s="544"/>
      <c r="AN108" s="548" t="str">
        <f>IFERROR(VLOOKUP(K108,【参考】数式用!$A$2:$N$57,14,FALSE),"")</f>
        <v/>
      </c>
      <c r="AO108" s="548" t="str">
        <f t="shared" si="29"/>
        <v/>
      </c>
      <c r="AP108" s="547" t="str">
        <f t="shared" si="30"/>
        <v/>
      </c>
      <c r="AQ108" s="547" t="str">
        <f t="shared" si="31"/>
        <v>入力済</v>
      </c>
      <c r="AR108" s="548" t="str">
        <f t="shared" si="32"/>
        <v/>
      </c>
      <c r="AS108" s="547" t="str">
        <f t="shared" si="33"/>
        <v>入力済</v>
      </c>
      <c r="AT108" s="547" t="str">
        <f t="shared" si="38"/>
        <v/>
      </c>
      <c r="AU108" s="547" t="str">
        <f t="shared" si="39"/>
        <v/>
      </c>
      <c r="AV108" s="548" t="str">
        <f t="shared" si="40"/>
        <v/>
      </c>
      <c r="AW108" s="548" t="str">
        <f t="shared" si="34"/>
        <v>入力済</v>
      </c>
      <c r="AX108" s="547" t="str">
        <f>IFERROR(VLOOKUP(K108,【参考】数式用!$AR$3:$AS$49,2, FALSE), "")</f>
        <v/>
      </c>
      <c r="AY108" s="548" t="str">
        <f t="shared" si="35"/>
        <v/>
      </c>
      <c r="AZ108" s="548" t="str">
        <f t="shared" si="41"/>
        <v>入力済</v>
      </c>
      <c r="BA108" s="547" t="str">
        <f>IFERROR(VLOOKUP(K108,【参考】数式用!$AX$3:$AY$56, 2, FALSE), "")</f>
        <v/>
      </c>
      <c r="BB108" s="548" t="str">
        <f t="shared" si="27"/>
        <v/>
      </c>
      <c r="BC108" s="648" t="str">
        <f t="shared" si="36"/>
        <v>入力済</v>
      </c>
      <c r="BD108" s="548" t="str">
        <f t="shared" si="42"/>
        <v/>
      </c>
      <c r="BE108" s="548" t="str">
        <f t="shared" si="43"/>
        <v/>
      </c>
      <c r="BF108" s="515"/>
      <c r="BG108" s="515"/>
      <c r="BH108" s="634" t="e">
        <f>VLOOKUP(K108,【参考】数式用!$A$2:$O$57,15,FALSE)</f>
        <v>#N/A</v>
      </c>
      <c r="BI108" s="515"/>
      <c r="BJ108" s="515"/>
      <c r="BK108" s="515"/>
      <c r="BL108" s="515"/>
      <c r="BM108" s="515"/>
      <c r="BN108" s="515"/>
      <c r="BO108" s="516"/>
    </row>
    <row r="109" spans="1:67" s="517" customFormat="1" ht="109.9" customHeight="1" thickBot="1">
      <c r="A109" s="454">
        <v>98</v>
      </c>
      <c r="B109" s="933" t="str">
        <f>IF(基本情報入力シート!B137="","",基本情報入力シート!B137)</f>
        <v/>
      </c>
      <c r="C109" s="934"/>
      <c r="D109" s="934"/>
      <c r="E109" s="934"/>
      <c r="F109" s="935"/>
      <c r="G109" s="455" t="str">
        <f>IF(基本情報入力シート!L137="", "", 基本情報入力シート!L137)</f>
        <v/>
      </c>
      <c r="H109" s="455" t="str">
        <f>IF(基本情報入力シート!Q137="", "", 基本情報入力シート!Q137)</f>
        <v/>
      </c>
      <c r="I109" s="455" t="str">
        <f>IF(基本情報入力シート!V137="", "", 基本情報入力シート!V137)</f>
        <v/>
      </c>
      <c r="J109" s="455" t="str">
        <f>IF(基本情報入力シート!W137="", "", 基本情報入力シート!W137)</f>
        <v/>
      </c>
      <c r="K109" s="455" t="str">
        <f>IF(基本情報入力シート!Z137="", "", 基本情報入力シート!Z137)</f>
        <v/>
      </c>
      <c r="L109" s="101" t="str">
        <f>IF(基本情報入力シート!AF137=0, "",基本情報入力シート!AF137)</f>
        <v/>
      </c>
      <c r="M109" s="142" t="str">
        <f>IF(基本情報入力シート!AG137="","",基本情報入力シート!AG137)</f>
        <v/>
      </c>
      <c r="N109" s="136"/>
      <c r="O109" s="155" t="str">
        <f>IFERROR(VLOOKUP(K109,【参考】数式用!$A$2:$F$57,MATCH(N109,【参考】数式用!$C$3:$F$3,0)+2,0),"")</f>
        <v/>
      </c>
      <c r="P109" s="456" t="s">
        <v>180</v>
      </c>
      <c r="Q109" s="141"/>
      <c r="R109" s="457" t="s">
        <v>271</v>
      </c>
      <c r="S109" s="141"/>
      <c r="T109" s="457" t="s">
        <v>272</v>
      </c>
      <c r="U109" s="141"/>
      <c r="V109" s="457" t="s">
        <v>271</v>
      </c>
      <c r="W109" s="141"/>
      <c r="X109" s="457" t="s">
        <v>273</v>
      </c>
      <c r="Y109" s="457" t="s">
        <v>274</v>
      </c>
      <c r="Z109" s="457" t="str">
        <f t="shared" si="44"/>
        <v/>
      </c>
      <c r="AA109" s="458" t="s">
        <v>275</v>
      </c>
      <c r="AB109" s="459" t="str">
        <f t="shared" si="45"/>
        <v/>
      </c>
      <c r="AC109" s="460" t="str">
        <f>IFERROR(ROUNDDOWN(ROUNDDOWN(ROUND(L109*VLOOKUP(K109,【参考】数式用!$A$4:$F$57,MATCH("処遇改善加算Ⅳ",【参考】数式用!$C$3:$F$3,0)+2,0),0)*M109,0)*Z109*0.5,0), "")</f>
        <v/>
      </c>
      <c r="AD109" s="156"/>
      <c r="AE109" s="157"/>
      <c r="AF109" s="157"/>
      <c r="AG109" s="158"/>
      <c r="AH109" s="159"/>
      <c r="AI109" s="161"/>
      <c r="AJ109" s="161"/>
      <c r="AK109" s="542" t="str">
        <f t="shared" si="37"/>
        <v/>
      </c>
      <c r="AL109" s="543" t="str">
        <f t="shared" si="28"/>
        <v/>
      </c>
      <c r="AM109" s="544"/>
      <c r="AN109" s="548" t="str">
        <f>IFERROR(VLOOKUP(K109,【参考】数式用!$A$2:$N$57,14,FALSE),"")</f>
        <v/>
      </c>
      <c r="AO109" s="548" t="str">
        <f t="shared" si="29"/>
        <v/>
      </c>
      <c r="AP109" s="547" t="str">
        <f t="shared" si="30"/>
        <v/>
      </c>
      <c r="AQ109" s="547" t="str">
        <f t="shared" si="31"/>
        <v>入力済</v>
      </c>
      <c r="AR109" s="548" t="str">
        <f t="shared" si="32"/>
        <v/>
      </c>
      <c r="AS109" s="547" t="str">
        <f t="shared" si="33"/>
        <v>入力済</v>
      </c>
      <c r="AT109" s="547" t="str">
        <f t="shared" si="38"/>
        <v/>
      </c>
      <c r="AU109" s="547" t="str">
        <f t="shared" si="39"/>
        <v/>
      </c>
      <c r="AV109" s="548" t="str">
        <f t="shared" si="40"/>
        <v/>
      </c>
      <c r="AW109" s="548" t="str">
        <f t="shared" si="34"/>
        <v>入力済</v>
      </c>
      <c r="AX109" s="547" t="str">
        <f>IFERROR(VLOOKUP(K109,【参考】数式用!$AR$3:$AS$49,2, FALSE), "")</f>
        <v/>
      </c>
      <c r="AY109" s="548" t="str">
        <f t="shared" si="35"/>
        <v/>
      </c>
      <c r="AZ109" s="548" t="str">
        <f t="shared" si="41"/>
        <v>入力済</v>
      </c>
      <c r="BA109" s="547" t="str">
        <f>IFERROR(VLOOKUP(K109,【参考】数式用!$AX$3:$AY$56, 2, FALSE), "")</f>
        <v/>
      </c>
      <c r="BB109" s="548" t="str">
        <f t="shared" si="27"/>
        <v/>
      </c>
      <c r="BC109" s="648" t="str">
        <f t="shared" si="36"/>
        <v>入力済</v>
      </c>
      <c r="BD109" s="548" t="str">
        <f t="shared" si="42"/>
        <v/>
      </c>
      <c r="BE109" s="548" t="str">
        <f t="shared" si="43"/>
        <v/>
      </c>
      <c r="BF109" s="515"/>
      <c r="BG109" s="515"/>
      <c r="BH109" s="634" t="e">
        <f>VLOOKUP(K109,【参考】数式用!$A$2:$O$57,15,FALSE)</f>
        <v>#N/A</v>
      </c>
      <c r="BI109" s="515"/>
      <c r="BJ109" s="515"/>
      <c r="BK109" s="515"/>
      <c r="BL109" s="515"/>
      <c r="BM109" s="515"/>
      <c r="BN109" s="515"/>
      <c r="BO109" s="516"/>
    </row>
    <row r="110" spans="1:67" s="517" customFormat="1" ht="109.9" customHeight="1" thickBot="1">
      <c r="A110" s="454">
        <v>99</v>
      </c>
      <c r="B110" s="933" t="str">
        <f>IF(基本情報入力シート!B138="","",基本情報入力シート!B138)</f>
        <v/>
      </c>
      <c r="C110" s="934"/>
      <c r="D110" s="934"/>
      <c r="E110" s="934"/>
      <c r="F110" s="935"/>
      <c r="G110" s="455" t="str">
        <f>IF(基本情報入力シート!L138="", "", 基本情報入力シート!L138)</f>
        <v/>
      </c>
      <c r="H110" s="455" t="str">
        <f>IF(基本情報入力シート!Q138="", "", 基本情報入力シート!Q138)</f>
        <v/>
      </c>
      <c r="I110" s="455" t="str">
        <f>IF(基本情報入力シート!V138="", "", 基本情報入力シート!V138)</f>
        <v/>
      </c>
      <c r="J110" s="455" t="str">
        <f>IF(基本情報入力シート!W138="", "", 基本情報入力シート!W138)</f>
        <v/>
      </c>
      <c r="K110" s="455" t="str">
        <f>IF(基本情報入力シート!Z138="", "", 基本情報入力シート!Z138)</f>
        <v/>
      </c>
      <c r="L110" s="101" t="str">
        <f>IF(基本情報入力シート!AF138=0, "",基本情報入力シート!AF138)</f>
        <v/>
      </c>
      <c r="M110" s="142" t="str">
        <f>IF(基本情報入力シート!AG138="","",基本情報入力シート!AG138)</f>
        <v/>
      </c>
      <c r="N110" s="136"/>
      <c r="O110" s="155" t="str">
        <f>IFERROR(VLOOKUP(K110,【参考】数式用!$A$2:$F$57,MATCH(N110,【参考】数式用!$C$3:$F$3,0)+2,0),"")</f>
        <v/>
      </c>
      <c r="P110" s="456" t="s">
        <v>180</v>
      </c>
      <c r="Q110" s="141"/>
      <c r="R110" s="457" t="s">
        <v>271</v>
      </c>
      <c r="S110" s="141"/>
      <c r="T110" s="457" t="s">
        <v>272</v>
      </c>
      <c r="U110" s="141"/>
      <c r="V110" s="457" t="s">
        <v>271</v>
      </c>
      <c r="W110" s="141"/>
      <c r="X110" s="457" t="s">
        <v>273</v>
      </c>
      <c r="Y110" s="457" t="s">
        <v>274</v>
      </c>
      <c r="Z110" s="457" t="str">
        <f t="shared" si="44"/>
        <v/>
      </c>
      <c r="AA110" s="458" t="s">
        <v>275</v>
      </c>
      <c r="AB110" s="459" t="str">
        <f t="shared" si="45"/>
        <v/>
      </c>
      <c r="AC110" s="460" t="str">
        <f>IFERROR(ROUNDDOWN(ROUNDDOWN(ROUND(L110*VLOOKUP(K110,【参考】数式用!$A$4:$F$57,MATCH("処遇改善加算Ⅳ",【参考】数式用!$C$3:$F$3,0)+2,0),0)*M110,0)*Z110*0.5,0), "")</f>
        <v/>
      </c>
      <c r="AD110" s="156"/>
      <c r="AE110" s="157"/>
      <c r="AF110" s="157"/>
      <c r="AG110" s="158"/>
      <c r="AH110" s="159"/>
      <c r="AI110" s="161"/>
      <c r="AJ110" s="161"/>
      <c r="AK110" s="542" t="str">
        <f t="shared" si="37"/>
        <v/>
      </c>
      <c r="AL110" s="543" t="str">
        <f t="shared" si="28"/>
        <v/>
      </c>
      <c r="AM110" s="544"/>
      <c r="AN110" s="548" t="str">
        <f>IFERROR(VLOOKUP(K110,【参考】数式用!$A$2:$N$57,14,FALSE),"")</f>
        <v/>
      </c>
      <c r="AO110" s="548" t="str">
        <f t="shared" si="29"/>
        <v/>
      </c>
      <c r="AP110" s="547" t="str">
        <f t="shared" si="30"/>
        <v/>
      </c>
      <c r="AQ110" s="547" t="str">
        <f t="shared" si="31"/>
        <v>入力済</v>
      </c>
      <c r="AR110" s="548" t="str">
        <f t="shared" si="32"/>
        <v/>
      </c>
      <c r="AS110" s="547" t="str">
        <f t="shared" si="33"/>
        <v>入力済</v>
      </c>
      <c r="AT110" s="547" t="str">
        <f t="shared" si="38"/>
        <v/>
      </c>
      <c r="AU110" s="547" t="str">
        <f t="shared" si="39"/>
        <v/>
      </c>
      <c r="AV110" s="548" t="str">
        <f t="shared" si="40"/>
        <v/>
      </c>
      <c r="AW110" s="548" t="str">
        <f t="shared" si="34"/>
        <v>入力済</v>
      </c>
      <c r="AX110" s="547" t="str">
        <f>IFERROR(VLOOKUP(K110,【参考】数式用!$AR$3:$AS$49,2, FALSE), "")</f>
        <v/>
      </c>
      <c r="AY110" s="548" t="str">
        <f t="shared" si="35"/>
        <v/>
      </c>
      <c r="AZ110" s="548" t="str">
        <f t="shared" si="41"/>
        <v>入力済</v>
      </c>
      <c r="BA110" s="547" t="str">
        <f>IFERROR(VLOOKUP(K110,【参考】数式用!$AX$3:$AY$56, 2, FALSE), "")</f>
        <v/>
      </c>
      <c r="BB110" s="548" t="str">
        <f t="shared" si="27"/>
        <v/>
      </c>
      <c r="BC110" s="648" t="str">
        <f t="shared" si="36"/>
        <v>入力済</v>
      </c>
      <c r="BD110" s="548" t="str">
        <f t="shared" si="42"/>
        <v/>
      </c>
      <c r="BE110" s="548" t="str">
        <f t="shared" si="43"/>
        <v/>
      </c>
      <c r="BF110" s="515"/>
      <c r="BG110" s="515"/>
      <c r="BH110" s="634" t="e">
        <f>VLOOKUP(K110,【参考】数式用!$A$2:$O$57,15,FALSE)</f>
        <v>#N/A</v>
      </c>
      <c r="BI110" s="515"/>
      <c r="BJ110" s="515"/>
      <c r="BK110" s="515"/>
      <c r="BL110" s="515"/>
      <c r="BM110" s="515"/>
      <c r="BN110" s="515"/>
      <c r="BO110" s="516"/>
    </row>
    <row r="111" spans="1:67" s="517" customFormat="1" ht="109.9" customHeight="1" thickBot="1">
      <c r="A111" s="454">
        <v>100</v>
      </c>
      <c r="B111" s="980" t="str">
        <f>IF(基本情報入力シート!B139="","",基本情報入力シート!B139)</f>
        <v/>
      </c>
      <c r="C111" s="981"/>
      <c r="D111" s="981"/>
      <c r="E111" s="981"/>
      <c r="F111" s="982"/>
      <c r="G111" s="461" t="str">
        <f>IF(基本情報入力シート!L139="", "", 基本情報入力シート!L139)</f>
        <v/>
      </c>
      <c r="H111" s="461" t="str">
        <f>IF(基本情報入力シート!Q139="", "", 基本情報入力シート!Q139)</f>
        <v/>
      </c>
      <c r="I111" s="461" t="str">
        <f>IF(基本情報入力シート!V139="", "", 基本情報入力シート!V139)</f>
        <v/>
      </c>
      <c r="J111" s="461" t="str">
        <f>IF(基本情報入力シート!W139="", "", 基本情報入力シート!W139)</f>
        <v/>
      </c>
      <c r="K111" s="461" t="str">
        <f>IF(基本情報入力シート!Z139="", "", 基本情報入力シート!Z139)</f>
        <v/>
      </c>
      <c r="L111" s="162" t="str">
        <f>IF(基本情報入力シート!AF139=0, "",基本情報入力シート!AF139)</f>
        <v/>
      </c>
      <c r="M111" s="163" t="str">
        <f>IF(基本情報入力シート!AG139="","",基本情報入力シート!AG139)</f>
        <v/>
      </c>
      <c r="N111" s="164"/>
      <c r="O111" s="165" t="str">
        <f>IFERROR(VLOOKUP(K111,【参考】数式用!$A$2:$F$57,MATCH(N111,【参考】数式用!$C$3:$F$3,0)+2,0),"")</f>
        <v/>
      </c>
      <c r="P111" s="462" t="s">
        <v>180</v>
      </c>
      <c r="Q111" s="166"/>
      <c r="R111" s="463" t="s">
        <v>271</v>
      </c>
      <c r="S111" s="166"/>
      <c r="T111" s="463" t="s">
        <v>272</v>
      </c>
      <c r="U111" s="166"/>
      <c r="V111" s="463" t="s">
        <v>271</v>
      </c>
      <c r="W111" s="166"/>
      <c r="X111" s="463" t="s">
        <v>182</v>
      </c>
      <c r="Y111" s="463" t="s">
        <v>274</v>
      </c>
      <c r="Z111" s="463" t="str">
        <f t="shared" si="44"/>
        <v/>
      </c>
      <c r="AA111" s="464" t="s">
        <v>275</v>
      </c>
      <c r="AB111" s="465" t="str">
        <f t="shared" si="45"/>
        <v/>
      </c>
      <c r="AC111" s="466" t="str">
        <f>IFERROR(ROUNDDOWN(ROUNDDOWN(ROUND(L111*VLOOKUP(K111,【参考】数式用!$A$4:$F$57,MATCH("処遇改善加算Ⅳ",【参考】数式用!$C$3:$F$3,0)+2,0),0)*M111,0)*Z111*0.5,0), "")</f>
        <v/>
      </c>
      <c r="AD111" s="617"/>
      <c r="AE111" s="583"/>
      <c r="AF111" s="583"/>
      <c r="AG111" s="584"/>
      <c r="AH111" s="234"/>
      <c r="AI111" s="161"/>
      <c r="AJ111" s="167"/>
      <c r="AK111" s="542" t="str">
        <f t="shared" si="37"/>
        <v/>
      </c>
      <c r="AL111" s="543" t="str">
        <f t="shared" si="28"/>
        <v/>
      </c>
      <c r="AM111" s="544"/>
      <c r="AN111" s="548" t="str">
        <f>IFERROR(VLOOKUP(K111,【参考】数式用!$A$2:$N$57,14,FALSE),"")</f>
        <v/>
      </c>
      <c r="AO111" s="548" t="str">
        <f t="shared" si="29"/>
        <v/>
      </c>
      <c r="AP111" s="547" t="str">
        <f t="shared" si="30"/>
        <v/>
      </c>
      <c r="AQ111" s="547" t="str">
        <f t="shared" si="31"/>
        <v>入力済</v>
      </c>
      <c r="AR111" s="548" t="str">
        <f t="shared" si="32"/>
        <v/>
      </c>
      <c r="AS111" s="547" t="str">
        <f t="shared" si="33"/>
        <v>入力済</v>
      </c>
      <c r="AT111" s="547" t="str">
        <f t="shared" si="38"/>
        <v/>
      </c>
      <c r="AU111" s="547" t="str">
        <f t="shared" si="39"/>
        <v/>
      </c>
      <c r="AV111" s="548" t="str">
        <f t="shared" si="40"/>
        <v/>
      </c>
      <c r="AW111" s="548" t="str">
        <f t="shared" si="34"/>
        <v>入力済</v>
      </c>
      <c r="AX111" s="547" t="str">
        <f>IFERROR(VLOOKUP(K111,【参考】数式用!$AR$3:$AS$49,2, FALSE), "")</f>
        <v/>
      </c>
      <c r="AY111" s="548" t="str">
        <f t="shared" si="35"/>
        <v/>
      </c>
      <c r="AZ111" s="548" t="str">
        <f t="shared" si="41"/>
        <v>入力済</v>
      </c>
      <c r="BA111" s="547" t="str">
        <f>IFERROR(VLOOKUP(K111,【参考】数式用!$AX$3:$AY$56, 2, FALSE), "")</f>
        <v/>
      </c>
      <c r="BB111" s="548" t="str">
        <f t="shared" si="27"/>
        <v/>
      </c>
      <c r="BC111" s="648" t="str">
        <f t="shared" si="36"/>
        <v>入力済</v>
      </c>
      <c r="BD111" s="548" t="str">
        <f t="shared" si="42"/>
        <v/>
      </c>
      <c r="BE111" s="548" t="str">
        <f t="shared" si="43"/>
        <v/>
      </c>
      <c r="BF111" s="515"/>
      <c r="BG111" s="515"/>
      <c r="BH111" s="634" t="e">
        <f>VLOOKUP(K111,【参考】数式用!$A$2:$O$57,15,FALSE)</f>
        <v>#N/A</v>
      </c>
      <c r="BI111" s="515"/>
      <c r="BJ111" s="515"/>
      <c r="BK111" s="515"/>
      <c r="BL111" s="515"/>
      <c r="BM111" s="515"/>
      <c r="BN111" s="515"/>
      <c r="BO111" s="516"/>
    </row>
    <row r="112" spans="1:67" s="517" customFormat="1">
      <c r="A112"/>
      <c r="B112" s="107"/>
      <c r="C112" s="107"/>
      <c r="D112" s="107"/>
      <c r="E112" s="107"/>
      <c r="F112" s="107"/>
      <c r="G112"/>
      <c r="H112"/>
      <c r="I112" s="29"/>
      <c r="J112"/>
      <c r="K112" s="16"/>
      <c r="L112"/>
      <c r="M112" s="108"/>
      <c r="N112" s="102"/>
      <c r="O112" s="28"/>
      <c r="P112" s="103"/>
      <c r="Q112" s="102"/>
      <c r="R112" s="16"/>
      <c r="S112" s="104"/>
      <c r="T112" s="16"/>
      <c r="U112" s="104"/>
      <c r="V112" s="16"/>
      <c r="W112" s="104"/>
      <c r="X112" s="16"/>
      <c r="Y112" s="104"/>
      <c r="Z112" s="16"/>
      <c r="AA112" s="16"/>
      <c r="AB112" s="16"/>
      <c r="AC112" s="16"/>
      <c r="AD112" s="102"/>
      <c r="AE112" s="467"/>
      <c r="AF112" s="106"/>
      <c r="AG112" s="11"/>
      <c r="AH112" s="11"/>
      <c r="AI112" s="143"/>
      <c r="AJ112" s="105"/>
      <c r="AK112" s="519"/>
      <c r="AL112" s="519"/>
      <c r="AM112" s="519"/>
      <c r="AN112" s="519"/>
      <c r="AO112" s="519"/>
      <c r="AP112" s="519"/>
      <c r="AQ112" s="515"/>
      <c r="AR112" s="519"/>
      <c r="AS112" s="515"/>
      <c r="AT112" s="515"/>
      <c r="AU112" s="515"/>
      <c r="AV112" s="515"/>
      <c r="AW112" s="515"/>
      <c r="AX112" s="515"/>
      <c r="AY112" s="515"/>
      <c r="AZ112" s="515"/>
      <c r="BA112" s="515"/>
      <c r="BB112" s="515"/>
      <c r="BC112" s="643"/>
      <c r="BD112" s="515"/>
      <c r="BE112" s="515"/>
      <c r="BF112" s="515"/>
      <c r="BG112" s="515"/>
      <c r="BH112" s="631"/>
      <c r="BI112" s="515"/>
      <c r="BJ112" s="515"/>
      <c r="BK112" s="515"/>
      <c r="BL112" s="515"/>
      <c r="BM112" s="515"/>
      <c r="BN112" s="515"/>
      <c r="BO112" s="516"/>
    </row>
    <row r="113" spans="1:67" s="517" customFormat="1">
      <c r="A113"/>
      <c r="B113" s="107"/>
      <c r="C113" s="107"/>
      <c r="D113" s="107"/>
      <c r="E113" s="107"/>
      <c r="F113" s="107"/>
      <c r="G113"/>
      <c r="H113"/>
      <c r="I113" s="29"/>
      <c r="J113"/>
      <c r="K113" s="16"/>
      <c r="L113"/>
      <c r="M113" s="108"/>
      <c r="N113" s="102"/>
      <c r="O113" s="28"/>
      <c r="P113" s="103"/>
      <c r="Q113" s="102"/>
      <c r="R113" s="16"/>
      <c r="S113" s="104"/>
      <c r="T113" s="16"/>
      <c r="U113" s="104"/>
      <c r="V113" s="16"/>
      <c r="W113" s="104"/>
      <c r="X113" s="16"/>
      <c r="Y113" s="104"/>
      <c r="Z113" s="16"/>
      <c r="AA113" s="16"/>
      <c r="AB113" s="16"/>
      <c r="AC113" s="16"/>
      <c r="AD113" s="102"/>
      <c r="AE113" s="467"/>
      <c r="AF113" s="106"/>
      <c r="AG113" s="11"/>
      <c r="AH113" s="11"/>
      <c r="AI113" s="143"/>
      <c r="AJ113" s="105"/>
      <c r="AK113" s="519"/>
      <c r="AL113" s="519"/>
      <c r="AM113" s="519"/>
      <c r="AN113" s="519"/>
      <c r="AO113" s="519"/>
      <c r="AP113" s="519"/>
      <c r="AQ113" s="515"/>
      <c r="AR113" s="519"/>
      <c r="AS113" s="515"/>
      <c r="AT113" s="515"/>
      <c r="AU113" s="515"/>
      <c r="AV113" s="515"/>
      <c r="AW113" s="515"/>
      <c r="AX113" s="515"/>
      <c r="AY113" s="515"/>
      <c r="AZ113" s="515"/>
      <c r="BA113" s="515"/>
      <c r="BB113" s="515"/>
      <c r="BC113" s="643"/>
      <c r="BD113" s="515"/>
      <c r="BE113" s="515"/>
      <c r="BF113" s="515"/>
      <c r="BG113" s="515"/>
      <c r="BH113" s="631"/>
      <c r="BI113" s="515"/>
      <c r="BJ113" s="515"/>
      <c r="BK113" s="515"/>
      <c r="BL113" s="515"/>
      <c r="BM113" s="515"/>
      <c r="BN113" s="515"/>
      <c r="BO113" s="516"/>
    </row>
    <row r="114" spans="1:67" s="517" customFormat="1">
      <c r="A114"/>
      <c r="B114" s="107"/>
      <c r="C114" s="107"/>
      <c r="D114" s="107"/>
      <c r="E114" s="107"/>
      <c r="F114" s="107"/>
      <c r="G114"/>
      <c r="H114"/>
      <c r="I114" s="29"/>
      <c r="J114"/>
      <c r="K114" s="16"/>
      <c r="L114"/>
      <c r="M114" s="108"/>
      <c r="N114" s="102"/>
      <c r="O114" s="28"/>
      <c r="P114" s="103"/>
      <c r="Q114" s="102"/>
      <c r="R114" s="16"/>
      <c r="S114" s="104"/>
      <c r="T114" s="16"/>
      <c r="U114" s="104"/>
      <c r="V114" s="16"/>
      <c r="W114" s="104"/>
      <c r="X114" s="16"/>
      <c r="Y114" s="104"/>
      <c r="Z114" s="16"/>
      <c r="AA114" s="16"/>
      <c r="AB114" s="16"/>
      <c r="AC114" s="16"/>
      <c r="AD114" s="102"/>
      <c r="AE114" s="467"/>
      <c r="AF114" s="106"/>
      <c r="AG114" s="11"/>
      <c r="AH114" s="11"/>
      <c r="AI114" s="143"/>
      <c r="AJ114" s="105"/>
      <c r="AK114" s="519"/>
      <c r="AL114" s="519"/>
      <c r="AM114" s="519"/>
      <c r="AN114" s="519"/>
      <c r="AO114" s="519"/>
      <c r="AP114" s="519"/>
      <c r="AQ114" s="515"/>
      <c r="AR114" s="519"/>
      <c r="AS114" s="515"/>
      <c r="AT114" s="515"/>
      <c r="AU114" s="515"/>
      <c r="AV114" s="515"/>
      <c r="AW114" s="515"/>
      <c r="AX114" s="515"/>
      <c r="AY114" s="515"/>
      <c r="AZ114" s="515"/>
      <c r="BA114" s="515"/>
      <c r="BB114" s="515"/>
      <c r="BC114" s="643"/>
      <c r="BD114" s="515"/>
      <c r="BE114" s="515"/>
      <c r="BF114" s="515"/>
      <c r="BG114" s="515"/>
      <c r="BH114" s="631"/>
      <c r="BI114" s="515"/>
      <c r="BJ114" s="515"/>
      <c r="BK114" s="515"/>
      <c r="BL114" s="515"/>
      <c r="BM114" s="515"/>
      <c r="BN114" s="515"/>
      <c r="BO114" s="516"/>
    </row>
    <row r="115" spans="1:67" s="517" customFormat="1">
      <c r="A115"/>
      <c r="B115" s="107"/>
      <c r="C115" s="107"/>
      <c r="D115" s="107"/>
      <c r="E115" s="107"/>
      <c r="F115" s="107"/>
      <c r="G115"/>
      <c r="H115"/>
      <c r="I115" s="29"/>
      <c r="J115"/>
      <c r="K115" s="16"/>
      <c r="L115"/>
      <c r="M115" s="108"/>
      <c r="N115" s="102"/>
      <c r="O115" s="28"/>
      <c r="P115" s="103"/>
      <c r="Q115" s="102"/>
      <c r="R115" s="16"/>
      <c r="S115" s="104"/>
      <c r="T115" s="16"/>
      <c r="U115" s="104"/>
      <c r="V115" s="16"/>
      <c r="W115" s="104"/>
      <c r="X115" s="16"/>
      <c r="Y115" s="104"/>
      <c r="Z115" s="16"/>
      <c r="AA115" s="16"/>
      <c r="AB115" s="16"/>
      <c r="AC115" s="16"/>
      <c r="AD115" s="102"/>
      <c r="AE115" s="467"/>
      <c r="AF115" s="106"/>
      <c r="AG115" s="11"/>
      <c r="AH115" s="11"/>
      <c r="AI115" s="143"/>
      <c r="AJ115" s="105"/>
      <c r="AK115" s="519"/>
      <c r="AL115" s="519"/>
      <c r="AM115" s="519"/>
      <c r="AN115" s="519"/>
      <c r="AO115" s="519"/>
      <c r="AP115" s="519"/>
      <c r="AQ115" s="515"/>
      <c r="AR115" s="519"/>
      <c r="AS115" s="515"/>
      <c r="AT115" s="515"/>
      <c r="AU115" s="515"/>
      <c r="AV115" s="515"/>
      <c r="AW115" s="515"/>
      <c r="AX115" s="515"/>
      <c r="AY115" s="515"/>
      <c r="AZ115" s="515"/>
      <c r="BA115" s="515"/>
      <c r="BB115" s="515"/>
      <c r="BC115" s="643"/>
      <c r="BD115" s="515"/>
      <c r="BE115" s="515"/>
      <c r="BF115" s="515"/>
      <c r="BG115" s="515"/>
      <c r="BH115" s="631"/>
      <c r="BI115" s="515"/>
      <c r="BJ115" s="515"/>
      <c r="BK115" s="515"/>
      <c r="BL115" s="515"/>
      <c r="BM115" s="515"/>
      <c r="BN115" s="515"/>
      <c r="BO115" s="516"/>
    </row>
    <row r="116" spans="1:67" s="517" customFormat="1">
      <c r="A116"/>
      <c r="B116" s="107"/>
      <c r="C116" s="107"/>
      <c r="D116" s="107"/>
      <c r="E116" s="107"/>
      <c r="F116" s="107"/>
      <c r="G116"/>
      <c r="H116"/>
      <c r="I116" s="29"/>
      <c r="J116"/>
      <c r="K116" s="16"/>
      <c r="L116"/>
      <c r="M116" s="108"/>
      <c r="N116" s="102"/>
      <c r="O116" s="28"/>
      <c r="P116" s="103"/>
      <c r="Q116" s="102"/>
      <c r="R116" s="16"/>
      <c r="S116" s="104"/>
      <c r="T116" s="16"/>
      <c r="U116" s="104"/>
      <c r="V116" s="16"/>
      <c r="W116" s="104"/>
      <c r="X116" s="16"/>
      <c r="Y116" s="104"/>
      <c r="Z116" s="16"/>
      <c r="AA116" s="16"/>
      <c r="AB116" s="16"/>
      <c r="AC116" s="16"/>
      <c r="AD116" s="102"/>
      <c r="AE116" s="467"/>
      <c r="AF116" s="106"/>
      <c r="AG116" s="11"/>
      <c r="AH116" s="11"/>
      <c r="AI116" s="143"/>
      <c r="AJ116" s="105"/>
      <c r="AK116" s="519"/>
      <c r="AL116" s="519"/>
      <c r="AM116" s="519"/>
      <c r="AN116" s="519"/>
      <c r="AO116" s="519"/>
      <c r="AP116" s="519"/>
      <c r="AQ116" s="515"/>
      <c r="AR116" s="519"/>
      <c r="AS116" s="515"/>
      <c r="AT116" s="515"/>
      <c r="AU116" s="515"/>
      <c r="AV116" s="515"/>
      <c r="AW116" s="515"/>
      <c r="AX116" s="515"/>
      <c r="AY116" s="515"/>
      <c r="AZ116" s="515"/>
      <c r="BA116" s="515"/>
      <c r="BB116" s="515"/>
      <c r="BC116" s="643"/>
      <c r="BD116" s="515"/>
      <c r="BE116" s="515"/>
      <c r="BF116" s="515"/>
      <c r="BG116" s="515"/>
      <c r="BH116" s="631"/>
      <c r="BI116" s="515"/>
      <c r="BJ116" s="515"/>
      <c r="BK116" s="515"/>
      <c r="BL116" s="515"/>
      <c r="BM116" s="515"/>
      <c r="BN116" s="515"/>
      <c r="BO116" s="516"/>
    </row>
    <row r="117" spans="1:67" s="517" customFormat="1">
      <c r="A117"/>
      <c r="B117" s="107"/>
      <c r="C117" s="107"/>
      <c r="D117" s="107"/>
      <c r="E117" s="107"/>
      <c r="F117" s="107"/>
      <c r="G117"/>
      <c r="H117"/>
      <c r="I117" s="29"/>
      <c r="J117"/>
      <c r="K117" s="16"/>
      <c r="L117"/>
      <c r="M117" s="108"/>
      <c r="N117" s="102"/>
      <c r="O117" s="28"/>
      <c r="P117" s="103"/>
      <c r="Q117" s="102"/>
      <c r="R117" s="16"/>
      <c r="S117" s="104"/>
      <c r="T117" s="16"/>
      <c r="U117" s="104"/>
      <c r="V117" s="16"/>
      <c r="W117" s="104"/>
      <c r="X117" s="16"/>
      <c r="Y117" s="104"/>
      <c r="Z117" s="16"/>
      <c r="AA117" s="16"/>
      <c r="AB117" s="16"/>
      <c r="AC117" s="16"/>
      <c r="AD117" s="102"/>
      <c r="AE117" s="467"/>
      <c r="AF117" s="106"/>
      <c r="AG117" s="11"/>
      <c r="AH117" s="11"/>
      <c r="AI117" s="143"/>
      <c r="AJ117" s="105"/>
      <c r="AK117" s="519"/>
      <c r="AL117" s="519"/>
      <c r="AM117" s="519"/>
      <c r="AN117" s="519"/>
      <c r="AO117" s="519"/>
      <c r="AP117" s="519"/>
      <c r="AQ117" s="515"/>
      <c r="AR117" s="519"/>
      <c r="AS117" s="515"/>
      <c r="AT117" s="515"/>
      <c r="AU117" s="515"/>
      <c r="AV117" s="515"/>
      <c r="AW117" s="515"/>
      <c r="AX117" s="515"/>
      <c r="AY117" s="515"/>
      <c r="AZ117" s="515"/>
      <c r="BA117" s="515"/>
      <c r="BB117" s="515"/>
      <c r="BC117" s="643"/>
      <c r="BD117" s="515"/>
      <c r="BE117" s="515"/>
      <c r="BF117" s="515"/>
      <c r="BG117" s="515"/>
      <c r="BH117" s="631"/>
      <c r="BI117" s="515"/>
      <c r="BJ117" s="515"/>
      <c r="BK117" s="515"/>
      <c r="BL117" s="515"/>
      <c r="BM117" s="515"/>
      <c r="BN117" s="515"/>
      <c r="BO117" s="516"/>
    </row>
    <row r="118" spans="1:67" s="517" customFormat="1">
      <c r="A118"/>
      <c r="B118" s="107"/>
      <c r="C118" s="107"/>
      <c r="D118" s="107"/>
      <c r="E118" s="107"/>
      <c r="F118" s="107"/>
      <c r="G118"/>
      <c r="H118"/>
      <c r="I118" s="29"/>
      <c r="J118"/>
      <c r="K118" s="16"/>
      <c r="L118"/>
      <c r="M118" s="108"/>
      <c r="N118" s="102"/>
      <c r="O118" s="28"/>
      <c r="P118" s="103"/>
      <c r="Q118" s="102"/>
      <c r="R118" s="16"/>
      <c r="S118" s="104"/>
      <c r="T118" s="16"/>
      <c r="U118" s="104"/>
      <c r="V118" s="16"/>
      <c r="W118" s="104"/>
      <c r="X118" s="16"/>
      <c r="Y118" s="104"/>
      <c r="Z118" s="16"/>
      <c r="AA118" s="16"/>
      <c r="AB118" s="16"/>
      <c r="AC118" s="16"/>
      <c r="AD118" s="102"/>
      <c r="AE118" s="467"/>
      <c r="AF118" s="106"/>
      <c r="AG118" s="11"/>
      <c r="AH118" s="11"/>
      <c r="AI118" s="143"/>
      <c r="AJ118" s="105"/>
      <c r="AK118" s="519"/>
      <c r="AL118" s="519"/>
      <c r="AM118" s="519"/>
      <c r="AN118" s="519"/>
      <c r="AO118" s="519"/>
      <c r="AP118" s="519"/>
      <c r="AQ118" s="515"/>
      <c r="AR118" s="519"/>
      <c r="AS118" s="515"/>
      <c r="AT118" s="515"/>
      <c r="AU118" s="515"/>
      <c r="AV118" s="515"/>
      <c r="AW118" s="515"/>
      <c r="AX118" s="515"/>
      <c r="AY118" s="515"/>
      <c r="AZ118" s="515"/>
      <c r="BA118" s="515"/>
      <c r="BB118" s="515"/>
      <c r="BC118" s="643"/>
      <c r="BD118" s="515"/>
      <c r="BE118" s="515"/>
      <c r="BF118" s="515"/>
      <c r="BG118" s="515"/>
      <c r="BH118" s="631"/>
      <c r="BI118" s="515"/>
      <c r="BJ118" s="515"/>
      <c r="BK118" s="515"/>
      <c r="BL118" s="515"/>
      <c r="BM118" s="515"/>
      <c r="BN118" s="515"/>
      <c r="BO118" s="516"/>
    </row>
    <row r="119" spans="1:67" s="517" customFormat="1">
      <c r="A119"/>
      <c r="B119" s="107"/>
      <c r="C119" s="107"/>
      <c r="D119" s="107"/>
      <c r="E119" s="107"/>
      <c r="F119" s="107"/>
      <c r="G119"/>
      <c r="H119"/>
      <c r="I119" s="29"/>
      <c r="J119"/>
      <c r="K119" s="16"/>
      <c r="L119"/>
      <c r="M119" s="108"/>
      <c r="N119" s="102"/>
      <c r="O119" s="28"/>
      <c r="P119" s="103"/>
      <c r="Q119" s="102"/>
      <c r="R119" s="16"/>
      <c r="S119" s="104"/>
      <c r="T119" s="16"/>
      <c r="U119" s="104"/>
      <c r="V119" s="16"/>
      <c r="W119" s="104"/>
      <c r="X119" s="16"/>
      <c r="Y119" s="104"/>
      <c r="Z119" s="16"/>
      <c r="AA119" s="16"/>
      <c r="AB119" s="16"/>
      <c r="AC119" s="16"/>
      <c r="AD119" s="102"/>
      <c r="AE119" s="467"/>
      <c r="AF119" s="106"/>
      <c r="AG119" s="11"/>
      <c r="AH119" s="11"/>
      <c r="AI119" s="143"/>
      <c r="AJ119" s="105"/>
      <c r="AK119" s="519"/>
      <c r="AL119" s="519"/>
      <c r="AM119" s="519"/>
      <c r="AN119" s="519"/>
      <c r="AO119" s="519"/>
      <c r="AP119" s="519"/>
      <c r="AQ119" s="515"/>
      <c r="AR119" s="519"/>
      <c r="AS119" s="515"/>
      <c r="AT119" s="515"/>
      <c r="AU119" s="515"/>
      <c r="AV119" s="515"/>
      <c r="AW119" s="515"/>
      <c r="AX119" s="515"/>
      <c r="AY119" s="515"/>
      <c r="AZ119" s="515"/>
      <c r="BA119" s="515"/>
      <c r="BB119" s="515"/>
      <c r="BC119" s="643"/>
      <c r="BD119" s="515"/>
      <c r="BE119" s="515"/>
      <c r="BF119" s="515"/>
      <c r="BG119" s="515"/>
      <c r="BH119" s="631"/>
      <c r="BI119" s="515"/>
      <c r="BJ119" s="515"/>
      <c r="BK119" s="515"/>
      <c r="BL119" s="515"/>
      <c r="BM119" s="515"/>
      <c r="BN119" s="515"/>
      <c r="BO119" s="516"/>
    </row>
    <row r="120" spans="1:67" s="517" customFormat="1">
      <c r="A120"/>
      <c r="B120" s="107"/>
      <c r="C120" s="107"/>
      <c r="D120" s="107"/>
      <c r="E120" s="107"/>
      <c r="F120" s="107"/>
      <c r="G120"/>
      <c r="H120"/>
      <c r="I120" s="29"/>
      <c r="J120"/>
      <c r="K120" s="16"/>
      <c r="L120"/>
      <c r="M120" s="108"/>
      <c r="N120" s="102"/>
      <c r="O120" s="28"/>
      <c r="P120" s="103"/>
      <c r="Q120" s="102"/>
      <c r="R120" s="16"/>
      <c r="S120" s="104"/>
      <c r="T120" s="16"/>
      <c r="U120" s="104"/>
      <c r="V120" s="16"/>
      <c r="W120" s="104"/>
      <c r="X120" s="16"/>
      <c r="Y120" s="104"/>
      <c r="Z120" s="16"/>
      <c r="AA120" s="16"/>
      <c r="AB120" s="16"/>
      <c r="AC120" s="16"/>
      <c r="AD120" s="102"/>
      <c r="AE120" s="467"/>
      <c r="AF120" s="106"/>
      <c r="AG120" s="11"/>
      <c r="AH120" s="11"/>
      <c r="AI120" s="143"/>
      <c r="AJ120" s="105"/>
      <c r="AK120" s="519"/>
      <c r="AL120" s="519"/>
      <c r="AM120" s="519"/>
      <c r="AN120" s="519"/>
      <c r="AO120" s="519"/>
      <c r="AP120" s="519"/>
      <c r="AQ120" s="515"/>
      <c r="AR120" s="519"/>
      <c r="AS120" s="515"/>
      <c r="AT120" s="515"/>
      <c r="AU120" s="515"/>
      <c r="AV120" s="515"/>
      <c r="AW120" s="515"/>
      <c r="AX120" s="515"/>
      <c r="AY120" s="515"/>
      <c r="AZ120" s="515"/>
      <c r="BA120" s="515"/>
      <c r="BB120" s="515"/>
      <c r="BC120" s="643"/>
      <c r="BD120" s="515"/>
      <c r="BE120" s="515"/>
      <c r="BF120" s="515"/>
      <c r="BG120" s="515"/>
      <c r="BH120" s="631"/>
      <c r="BI120" s="515"/>
      <c r="BJ120" s="515"/>
      <c r="BK120" s="515"/>
      <c r="BL120" s="515"/>
      <c r="BM120" s="515"/>
      <c r="BN120" s="515"/>
      <c r="BO120" s="516"/>
    </row>
    <row r="121" spans="1:67" s="517" customFormat="1">
      <c r="A121"/>
      <c r="B121" s="107"/>
      <c r="C121" s="107"/>
      <c r="D121" s="107"/>
      <c r="E121" s="107"/>
      <c r="F121" s="107"/>
      <c r="G121"/>
      <c r="H121"/>
      <c r="I121" s="29"/>
      <c r="J121"/>
      <c r="K121" s="16"/>
      <c r="L121"/>
      <c r="M121" s="108"/>
      <c r="N121" s="102"/>
      <c r="O121" s="28"/>
      <c r="P121" s="103"/>
      <c r="Q121" s="102"/>
      <c r="R121" s="16"/>
      <c r="S121" s="104"/>
      <c r="T121" s="16"/>
      <c r="U121" s="104"/>
      <c r="V121" s="16"/>
      <c r="W121" s="104"/>
      <c r="X121" s="16"/>
      <c r="Y121" s="104"/>
      <c r="Z121" s="16"/>
      <c r="AA121" s="16"/>
      <c r="AB121" s="16"/>
      <c r="AC121" s="16"/>
      <c r="AD121" s="102"/>
      <c r="AE121" s="467"/>
      <c r="AF121" s="106"/>
      <c r="AG121" s="11"/>
      <c r="AH121" s="11"/>
      <c r="AI121" s="143"/>
      <c r="AJ121" s="105"/>
      <c r="AK121" s="519"/>
      <c r="AL121" s="519"/>
      <c r="AM121" s="519"/>
      <c r="AN121" s="519"/>
      <c r="AO121" s="519"/>
      <c r="AP121" s="519"/>
      <c r="AQ121" s="515"/>
      <c r="AR121" s="519"/>
      <c r="AS121" s="515"/>
      <c r="AT121" s="515"/>
      <c r="AU121" s="515"/>
      <c r="AV121" s="515"/>
      <c r="AW121" s="515"/>
      <c r="AX121" s="515"/>
      <c r="AY121" s="515"/>
      <c r="AZ121" s="515"/>
      <c r="BA121" s="515"/>
      <c r="BB121" s="515"/>
      <c r="BC121" s="643"/>
      <c r="BD121" s="515"/>
      <c r="BE121" s="515"/>
      <c r="BF121" s="515"/>
      <c r="BG121" s="515"/>
      <c r="BH121" s="631"/>
      <c r="BI121" s="515"/>
      <c r="BJ121" s="515"/>
      <c r="BK121" s="515"/>
      <c r="BL121" s="515"/>
      <c r="BM121" s="515"/>
      <c r="BN121" s="515"/>
      <c r="BO121" s="516"/>
    </row>
    <row r="122" spans="1:67" s="517" customFormat="1">
      <c r="A122"/>
      <c r="B122" s="107"/>
      <c r="C122" s="107"/>
      <c r="D122" s="107"/>
      <c r="E122" s="107"/>
      <c r="F122" s="107"/>
      <c r="G122"/>
      <c r="H122"/>
      <c r="I122" s="29"/>
      <c r="J122"/>
      <c r="K122" s="16"/>
      <c r="L122"/>
      <c r="M122" s="108"/>
      <c r="N122" s="102"/>
      <c r="O122" s="28"/>
      <c r="P122" s="103"/>
      <c r="Q122" s="102"/>
      <c r="R122" s="16"/>
      <c r="S122" s="104"/>
      <c r="T122" s="16"/>
      <c r="U122" s="104"/>
      <c r="V122" s="16"/>
      <c r="W122" s="104"/>
      <c r="X122" s="16"/>
      <c r="Y122" s="104"/>
      <c r="Z122" s="16"/>
      <c r="AA122" s="16"/>
      <c r="AB122" s="16"/>
      <c r="AC122" s="16"/>
      <c r="AD122" s="102"/>
      <c r="AE122" s="467"/>
      <c r="AF122" s="106"/>
      <c r="AG122" s="11"/>
      <c r="AH122" s="11"/>
      <c r="AI122" s="143"/>
      <c r="AJ122" s="105"/>
      <c r="AK122" s="519"/>
      <c r="AL122" s="519"/>
      <c r="AM122" s="519"/>
      <c r="AN122" s="519"/>
      <c r="AO122" s="519"/>
      <c r="AP122" s="519"/>
      <c r="AQ122" s="515"/>
      <c r="AR122" s="519"/>
      <c r="AS122" s="515"/>
      <c r="AT122" s="515"/>
      <c r="AU122" s="515"/>
      <c r="AV122" s="515"/>
      <c r="AW122" s="515"/>
      <c r="AX122" s="515"/>
      <c r="AY122" s="515"/>
      <c r="AZ122" s="515"/>
      <c r="BA122" s="515"/>
      <c r="BB122" s="515"/>
      <c r="BC122" s="643"/>
      <c r="BD122" s="515"/>
      <c r="BE122" s="515"/>
      <c r="BF122" s="515"/>
      <c r="BG122" s="515"/>
      <c r="BH122" s="631"/>
      <c r="BI122" s="515"/>
      <c r="BJ122" s="515"/>
      <c r="BK122" s="515"/>
      <c r="BL122" s="515"/>
      <c r="BM122" s="515"/>
      <c r="BN122" s="515"/>
      <c r="BO122" s="516"/>
    </row>
    <row r="123" spans="1:67" s="517" customFormat="1">
      <c r="A123"/>
      <c r="B123" s="107"/>
      <c r="C123" s="107"/>
      <c r="D123" s="107"/>
      <c r="E123" s="107"/>
      <c r="F123" s="107"/>
      <c r="G123"/>
      <c r="H123"/>
      <c r="I123" s="29"/>
      <c r="J123"/>
      <c r="K123" s="16"/>
      <c r="L123"/>
      <c r="M123" s="108"/>
      <c r="N123" s="102"/>
      <c r="O123" s="28"/>
      <c r="P123" s="103"/>
      <c r="Q123" s="102"/>
      <c r="R123" s="16"/>
      <c r="S123" s="104"/>
      <c r="T123" s="16"/>
      <c r="U123" s="104"/>
      <c r="V123" s="16"/>
      <c r="W123" s="104"/>
      <c r="X123" s="16"/>
      <c r="Y123" s="104"/>
      <c r="Z123" s="16"/>
      <c r="AA123" s="16"/>
      <c r="AB123" s="16"/>
      <c r="AC123" s="16"/>
      <c r="AD123" s="102"/>
      <c r="AE123" s="467"/>
      <c r="AF123" s="106"/>
      <c r="AG123" s="11"/>
      <c r="AH123" s="11"/>
      <c r="AI123" s="143"/>
      <c r="AJ123" s="105"/>
      <c r="AK123" s="519"/>
      <c r="AL123" s="519"/>
      <c r="AM123" s="519"/>
      <c r="AN123" s="519"/>
      <c r="AO123" s="519"/>
      <c r="AP123" s="519"/>
      <c r="AQ123" s="515"/>
      <c r="AR123" s="519"/>
      <c r="AS123" s="515"/>
      <c r="AT123" s="515"/>
      <c r="AU123" s="515"/>
      <c r="AV123" s="515"/>
      <c r="AW123" s="515"/>
      <c r="AX123" s="515"/>
      <c r="AY123" s="515"/>
      <c r="AZ123" s="515"/>
      <c r="BA123" s="515"/>
      <c r="BB123" s="515"/>
      <c r="BC123" s="643"/>
      <c r="BD123" s="515"/>
      <c r="BE123" s="515"/>
      <c r="BF123" s="515"/>
      <c r="BG123" s="515"/>
      <c r="BH123" s="631"/>
      <c r="BI123" s="515"/>
      <c r="BJ123" s="515"/>
      <c r="BK123" s="515"/>
      <c r="BL123" s="515"/>
      <c r="BM123" s="515"/>
      <c r="BN123" s="515"/>
      <c r="BO123" s="516"/>
    </row>
    <row r="124" spans="1:67" s="517" customFormat="1">
      <c r="A124"/>
      <c r="B124" s="107"/>
      <c r="C124" s="107"/>
      <c r="D124" s="107"/>
      <c r="E124" s="107"/>
      <c r="F124" s="107"/>
      <c r="G124"/>
      <c r="H124"/>
      <c r="I124" s="29"/>
      <c r="J124"/>
      <c r="K124" s="16"/>
      <c r="L124"/>
      <c r="M124" s="108"/>
      <c r="N124" s="102"/>
      <c r="O124" s="28"/>
      <c r="P124" s="103"/>
      <c r="Q124" s="102"/>
      <c r="R124" s="16"/>
      <c r="S124" s="104"/>
      <c r="T124" s="16"/>
      <c r="U124" s="104"/>
      <c r="V124" s="16"/>
      <c r="W124" s="104"/>
      <c r="X124" s="16"/>
      <c r="Y124" s="104"/>
      <c r="Z124" s="16"/>
      <c r="AA124" s="16"/>
      <c r="AB124" s="16"/>
      <c r="AC124" s="16"/>
      <c r="AD124" s="102"/>
      <c r="AE124" s="467"/>
      <c r="AF124" s="106"/>
      <c r="AG124" s="11"/>
      <c r="AH124" s="11"/>
      <c r="AI124" s="143"/>
      <c r="AJ124" s="105"/>
      <c r="AK124" s="519"/>
      <c r="AL124" s="519"/>
      <c r="AM124" s="519"/>
      <c r="AN124" s="519"/>
      <c r="AO124" s="519"/>
      <c r="AP124" s="519"/>
      <c r="AQ124" s="515"/>
      <c r="AR124" s="519"/>
      <c r="AS124" s="515"/>
      <c r="AT124" s="515"/>
      <c r="AU124" s="515"/>
      <c r="AV124" s="515"/>
      <c r="AW124" s="515"/>
      <c r="AX124" s="515"/>
      <c r="AY124" s="515"/>
      <c r="AZ124" s="515"/>
      <c r="BA124" s="515"/>
      <c r="BB124" s="515"/>
      <c r="BC124" s="643"/>
      <c r="BD124" s="515"/>
      <c r="BE124" s="515"/>
      <c r="BF124" s="515"/>
      <c r="BG124" s="515"/>
      <c r="BH124" s="631"/>
      <c r="BI124" s="515"/>
      <c r="BJ124" s="515"/>
      <c r="BK124" s="515"/>
      <c r="BL124" s="515"/>
      <c r="BM124" s="515"/>
      <c r="BN124" s="515"/>
      <c r="BO124" s="516"/>
    </row>
    <row r="125" spans="1:67" s="517" customFormat="1">
      <c r="A125"/>
      <c r="B125" s="107"/>
      <c r="C125" s="107"/>
      <c r="D125" s="107"/>
      <c r="E125" s="107"/>
      <c r="F125" s="107"/>
      <c r="G125"/>
      <c r="H125"/>
      <c r="I125" s="29"/>
      <c r="J125"/>
      <c r="K125" s="16"/>
      <c r="L125"/>
      <c r="M125" s="108"/>
      <c r="N125" s="102"/>
      <c r="O125" s="28"/>
      <c r="P125" s="103"/>
      <c r="Q125" s="102"/>
      <c r="R125" s="16"/>
      <c r="S125" s="104"/>
      <c r="T125" s="16"/>
      <c r="U125" s="104"/>
      <c r="V125" s="16"/>
      <c r="W125" s="104"/>
      <c r="X125" s="16"/>
      <c r="Y125" s="104"/>
      <c r="Z125" s="16"/>
      <c r="AA125" s="16"/>
      <c r="AB125" s="16"/>
      <c r="AC125" s="16"/>
      <c r="AD125" s="102"/>
      <c r="AE125" s="467"/>
      <c r="AF125" s="106"/>
      <c r="AG125" s="11"/>
      <c r="AH125" s="11"/>
      <c r="AI125" s="143"/>
      <c r="AJ125" s="105"/>
      <c r="AK125" s="519"/>
      <c r="AL125" s="519"/>
      <c r="AM125" s="519"/>
      <c r="AN125" s="519"/>
      <c r="AO125" s="519"/>
      <c r="AP125" s="519"/>
      <c r="AQ125" s="515"/>
      <c r="AR125" s="519"/>
      <c r="AS125" s="515"/>
      <c r="AT125" s="515"/>
      <c r="AU125" s="515"/>
      <c r="AV125" s="515"/>
      <c r="AW125" s="515"/>
      <c r="AX125" s="515"/>
      <c r="AY125" s="515"/>
      <c r="AZ125" s="515"/>
      <c r="BA125" s="515"/>
      <c r="BB125" s="515"/>
      <c r="BC125" s="643"/>
      <c r="BD125" s="515"/>
      <c r="BE125" s="515"/>
      <c r="BF125" s="515"/>
      <c r="BG125" s="515"/>
      <c r="BH125" s="631"/>
      <c r="BI125" s="515"/>
      <c r="BJ125" s="515"/>
      <c r="BK125" s="515"/>
      <c r="BL125" s="515"/>
      <c r="BM125" s="515"/>
      <c r="BN125" s="515"/>
      <c r="BO125" s="516"/>
    </row>
    <row r="126" spans="1:67" s="517" customFormat="1">
      <c r="A126"/>
      <c r="B126" s="107"/>
      <c r="C126" s="107"/>
      <c r="D126" s="107"/>
      <c r="E126" s="107"/>
      <c r="F126" s="107"/>
      <c r="G126"/>
      <c r="H126"/>
      <c r="I126" s="29"/>
      <c r="J126"/>
      <c r="K126" s="16"/>
      <c r="L126"/>
      <c r="M126" s="108"/>
      <c r="N126" s="102"/>
      <c r="O126" s="28"/>
      <c r="P126" s="103"/>
      <c r="Q126" s="102"/>
      <c r="R126" s="16"/>
      <c r="S126" s="104"/>
      <c r="T126" s="16"/>
      <c r="U126" s="104"/>
      <c r="V126" s="16"/>
      <c r="W126" s="104"/>
      <c r="X126" s="16"/>
      <c r="Y126" s="104"/>
      <c r="Z126" s="16"/>
      <c r="AA126" s="16"/>
      <c r="AB126" s="16"/>
      <c r="AC126" s="16"/>
      <c r="AD126" s="102"/>
      <c r="AE126" s="467"/>
      <c r="AF126" s="106"/>
      <c r="AG126" s="11"/>
      <c r="AH126" s="11"/>
      <c r="AI126" s="143"/>
      <c r="AJ126" s="105"/>
      <c r="AK126" s="519"/>
      <c r="AL126" s="519"/>
      <c r="AM126" s="519"/>
      <c r="AN126" s="519"/>
      <c r="AO126" s="519"/>
      <c r="AP126" s="519"/>
      <c r="AQ126" s="515"/>
      <c r="AR126" s="519"/>
      <c r="AS126" s="515"/>
      <c r="AT126" s="515"/>
      <c r="AU126" s="515"/>
      <c r="AV126" s="515"/>
      <c r="AW126" s="515"/>
      <c r="AX126" s="515"/>
      <c r="AY126" s="515"/>
      <c r="AZ126" s="515"/>
      <c r="BA126" s="515"/>
      <c r="BB126" s="515"/>
      <c r="BC126" s="643"/>
      <c r="BD126" s="515"/>
      <c r="BE126" s="515"/>
      <c r="BF126" s="515"/>
      <c r="BG126" s="515"/>
      <c r="BH126" s="631"/>
      <c r="BI126" s="515"/>
      <c r="BJ126" s="515"/>
      <c r="BK126" s="515"/>
      <c r="BL126" s="515"/>
      <c r="BM126" s="515"/>
      <c r="BN126" s="515"/>
      <c r="BO126" s="516"/>
    </row>
    <row r="127" spans="1:67" s="517" customFormat="1">
      <c r="A127"/>
      <c r="B127" s="107"/>
      <c r="C127" s="107"/>
      <c r="D127" s="107"/>
      <c r="E127" s="107"/>
      <c r="F127" s="107"/>
      <c r="G127"/>
      <c r="H127"/>
      <c r="I127" s="29"/>
      <c r="J127"/>
      <c r="K127" s="16"/>
      <c r="L127"/>
      <c r="M127" s="108"/>
      <c r="N127" s="102"/>
      <c r="O127" s="28"/>
      <c r="P127" s="103"/>
      <c r="Q127" s="102"/>
      <c r="R127" s="16"/>
      <c r="S127" s="104"/>
      <c r="T127" s="16"/>
      <c r="U127" s="104"/>
      <c r="V127" s="16"/>
      <c r="W127" s="104"/>
      <c r="X127" s="16"/>
      <c r="Y127" s="104"/>
      <c r="Z127" s="16"/>
      <c r="AA127" s="16"/>
      <c r="AB127" s="16"/>
      <c r="AC127" s="16"/>
      <c r="AD127" s="102"/>
      <c r="AE127" s="467"/>
      <c r="AF127" s="106"/>
      <c r="AG127" s="11"/>
      <c r="AH127" s="11"/>
      <c r="AI127" s="143"/>
      <c r="AJ127" s="105"/>
      <c r="AK127" s="519"/>
      <c r="AL127" s="519"/>
      <c r="AM127" s="519"/>
      <c r="AN127" s="519"/>
      <c r="AO127" s="519"/>
      <c r="AP127" s="519"/>
      <c r="AQ127" s="515"/>
      <c r="AR127" s="519"/>
      <c r="AS127" s="515"/>
      <c r="AT127" s="515"/>
      <c r="AU127" s="515"/>
      <c r="AV127" s="515"/>
      <c r="AW127" s="515"/>
      <c r="AX127" s="515"/>
      <c r="AY127" s="515"/>
      <c r="AZ127" s="515"/>
      <c r="BA127" s="515"/>
      <c r="BB127" s="515"/>
      <c r="BC127" s="643"/>
      <c r="BD127" s="515"/>
      <c r="BE127" s="515"/>
      <c r="BF127" s="515"/>
      <c r="BG127" s="515"/>
      <c r="BH127" s="631"/>
      <c r="BI127" s="515"/>
      <c r="BJ127" s="515"/>
      <c r="BK127" s="515"/>
      <c r="BL127" s="515"/>
      <c r="BM127" s="515"/>
      <c r="BN127" s="515"/>
      <c r="BO127" s="516"/>
    </row>
    <row r="128" spans="1:67" s="517" customFormat="1">
      <c r="A128"/>
      <c r="B128" s="107"/>
      <c r="C128" s="107"/>
      <c r="D128" s="107"/>
      <c r="E128" s="107"/>
      <c r="F128" s="107"/>
      <c r="G128"/>
      <c r="H128"/>
      <c r="I128" s="29"/>
      <c r="J128"/>
      <c r="K128" s="16"/>
      <c r="L128"/>
      <c r="M128" s="108"/>
      <c r="N128" s="102"/>
      <c r="O128" s="28"/>
      <c r="P128" s="103"/>
      <c r="Q128" s="102"/>
      <c r="R128" s="16"/>
      <c r="S128" s="104"/>
      <c r="T128" s="16"/>
      <c r="U128" s="104"/>
      <c r="V128" s="16"/>
      <c r="W128" s="104"/>
      <c r="X128" s="16"/>
      <c r="Y128" s="104"/>
      <c r="Z128" s="16"/>
      <c r="AA128" s="16"/>
      <c r="AB128" s="16"/>
      <c r="AC128" s="16"/>
      <c r="AD128" s="102"/>
      <c r="AE128" s="467"/>
      <c r="AF128" s="106"/>
      <c r="AG128" s="11"/>
      <c r="AH128" s="11"/>
      <c r="AI128" s="143"/>
      <c r="AJ128" s="105"/>
      <c r="AK128" s="519"/>
      <c r="AL128" s="519"/>
      <c r="AM128" s="519"/>
      <c r="AN128" s="519"/>
      <c r="AO128" s="519"/>
      <c r="AP128" s="519"/>
      <c r="AQ128" s="515"/>
      <c r="AR128" s="519"/>
      <c r="AS128" s="515"/>
      <c r="AT128" s="515"/>
      <c r="AU128" s="515"/>
      <c r="AV128" s="515"/>
      <c r="AW128" s="515"/>
      <c r="AX128" s="515"/>
      <c r="AY128" s="515"/>
      <c r="AZ128" s="515"/>
      <c r="BA128" s="515"/>
      <c r="BB128" s="515"/>
      <c r="BC128" s="643"/>
      <c r="BD128" s="515"/>
      <c r="BE128" s="515"/>
      <c r="BF128" s="515"/>
      <c r="BG128" s="515"/>
      <c r="BH128" s="631"/>
      <c r="BI128" s="515"/>
      <c r="BJ128" s="515"/>
      <c r="BK128" s="515"/>
      <c r="BL128" s="515"/>
      <c r="BM128" s="515"/>
      <c r="BN128" s="515"/>
      <c r="BO128" s="516"/>
    </row>
    <row r="129" spans="1:67" s="517" customFormat="1">
      <c r="A129"/>
      <c r="B129" s="107"/>
      <c r="C129" s="107"/>
      <c r="D129" s="107"/>
      <c r="E129" s="107"/>
      <c r="F129" s="107"/>
      <c r="G129"/>
      <c r="H129"/>
      <c r="I129" s="29"/>
      <c r="J129"/>
      <c r="K129" s="16"/>
      <c r="L129"/>
      <c r="M129" s="108"/>
      <c r="N129" s="102"/>
      <c r="O129" s="28"/>
      <c r="P129" s="103"/>
      <c r="Q129" s="102"/>
      <c r="R129" s="16"/>
      <c r="S129" s="104"/>
      <c r="T129" s="16"/>
      <c r="U129" s="104"/>
      <c r="V129" s="16"/>
      <c r="W129" s="104"/>
      <c r="X129" s="16"/>
      <c r="Y129" s="104"/>
      <c r="Z129" s="16"/>
      <c r="AA129" s="16"/>
      <c r="AB129" s="16"/>
      <c r="AC129" s="16"/>
      <c r="AD129" s="102"/>
      <c r="AE129" s="467"/>
      <c r="AF129" s="106"/>
      <c r="AG129" s="11"/>
      <c r="AH129" s="11"/>
      <c r="AI129" s="143"/>
      <c r="AJ129" s="105"/>
      <c r="AK129" s="519"/>
      <c r="AL129" s="519"/>
      <c r="AM129" s="519"/>
      <c r="AN129" s="519"/>
      <c r="AO129" s="519"/>
      <c r="AP129" s="519"/>
      <c r="AQ129" s="515"/>
      <c r="AR129" s="519"/>
      <c r="AS129" s="515"/>
      <c r="AT129" s="515"/>
      <c r="AU129" s="515"/>
      <c r="AV129" s="515"/>
      <c r="AW129" s="515"/>
      <c r="AX129" s="515"/>
      <c r="AY129" s="515"/>
      <c r="AZ129" s="515"/>
      <c r="BA129" s="515"/>
      <c r="BB129" s="515"/>
      <c r="BC129" s="643"/>
      <c r="BD129" s="515"/>
      <c r="BE129" s="515"/>
      <c r="BF129" s="515"/>
      <c r="BG129" s="515"/>
      <c r="BH129" s="631"/>
      <c r="BI129" s="515"/>
      <c r="BJ129" s="515"/>
      <c r="BK129" s="515"/>
      <c r="BL129" s="515"/>
      <c r="BM129" s="515"/>
      <c r="BN129" s="515"/>
      <c r="BO129" s="516"/>
    </row>
    <row r="130" spans="1:67" s="517" customFormat="1">
      <c r="A130"/>
      <c r="B130" s="107"/>
      <c r="C130" s="107"/>
      <c r="D130" s="107"/>
      <c r="E130" s="107"/>
      <c r="F130" s="107"/>
      <c r="G130"/>
      <c r="H130"/>
      <c r="I130" s="29"/>
      <c r="J130"/>
      <c r="K130" s="16"/>
      <c r="L130"/>
      <c r="M130" s="108"/>
      <c r="N130" s="102"/>
      <c r="O130" s="28"/>
      <c r="P130" s="103"/>
      <c r="Q130" s="102"/>
      <c r="R130" s="16"/>
      <c r="S130" s="104"/>
      <c r="T130" s="16"/>
      <c r="U130" s="104"/>
      <c r="V130" s="16"/>
      <c r="W130" s="104"/>
      <c r="X130" s="16"/>
      <c r="Y130" s="104"/>
      <c r="Z130" s="16"/>
      <c r="AA130" s="16"/>
      <c r="AB130" s="16"/>
      <c r="AC130" s="16"/>
      <c r="AD130" s="102"/>
      <c r="AE130" s="467"/>
      <c r="AF130" s="106"/>
      <c r="AG130" s="11"/>
      <c r="AH130" s="11"/>
      <c r="AI130" s="143"/>
      <c r="AJ130" s="105"/>
      <c r="AK130" s="519"/>
      <c r="AL130" s="519"/>
      <c r="AM130" s="519"/>
      <c r="AN130" s="519"/>
      <c r="AO130" s="519"/>
      <c r="AP130" s="519"/>
      <c r="AQ130" s="515"/>
      <c r="AR130" s="519"/>
      <c r="AS130" s="515"/>
      <c r="AT130" s="515"/>
      <c r="AU130" s="515"/>
      <c r="AV130" s="515"/>
      <c r="AW130" s="515"/>
      <c r="AX130" s="515"/>
      <c r="AY130" s="515"/>
      <c r="AZ130" s="515"/>
      <c r="BA130" s="515"/>
      <c r="BB130" s="515"/>
      <c r="BC130" s="643"/>
      <c r="BD130" s="515"/>
      <c r="BE130" s="515"/>
      <c r="BF130" s="515"/>
      <c r="BG130" s="515"/>
      <c r="BH130" s="631"/>
      <c r="BI130" s="515"/>
      <c r="BJ130" s="515"/>
      <c r="BK130" s="515"/>
      <c r="BL130" s="515"/>
      <c r="BM130" s="515"/>
      <c r="BN130" s="515"/>
      <c r="BO130" s="516"/>
    </row>
    <row r="131" spans="1:67" s="517" customFormat="1">
      <c r="A131"/>
      <c r="B131" s="107"/>
      <c r="C131" s="107"/>
      <c r="D131" s="107"/>
      <c r="E131" s="107"/>
      <c r="F131" s="107"/>
      <c r="G131"/>
      <c r="H131"/>
      <c r="I131" s="29"/>
      <c r="J131"/>
      <c r="K131" s="16"/>
      <c r="L131"/>
      <c r="M131" s="108"/>
      <c r="N131" s="102"/>
      <c r="O131" s="28"/>
      <c r="P131" s="103"/>
      <c r="Q131" s="102"/>
      <c r="R131" s="16"/>
      <c r="S131" s="104"/>
      <c r="T131" s="16"/>
      <c r="U131" s="104"/>
      <c r="V131" s="16"/>
      <c r="W131" s="104"/>
      <c r="X131" s="16"/>
      <c r="Y131" s="104"/>
      <c r="Z131" s="16"/>
      <c r="AA131" s="16"/>
      <c r="AB131" s="16"/>
      <c r="AC131" s="16"/>
      <c r="AD131" s="102"/>
      <c r="AE131" s="467"/>
      <c r="AF131" s="106"/>
      <c r="AG131" s="11"/>
      <c r="AH131" s="11"/>
      <c r="AI131" s="143"/>
      <c r="AJ131" s="105"/>
      <c r="AK131" s="519"/>
      <c r="AL131" s="519"/>
      <c r="AM131" s="519"/>
      <c r="AN131" s="519"/>
      <c r="AO131" s="519"/>
      <c r="AP131" s="519"/>
      <c r="AQ131" s="515"/>
      <c r="AR131" s="519"/>
      <c r="AS131" s="515"/>
      <c r="AT131" s="515"/>
      <c r="AU131" s="515"/>
      <c r="AV131" s="515"/>
      <c r="AW131" s="515"/>
      <c r="AX131" s="515"/>
      <c r="AY131" s="515"/>
      <c r="AZ131" s="515"/>
      <c r="BA131" s="515"/>
      <c r="BB131" s="515"/>
      <c r="BC131" s="643"/>
      <c r="BD131" s="515"/>
      <c r="BE131" s="515"/>
      <c r="BF131" s="515"/>
      <c r="BG131" s="515"/>
      <c r="BH131" s="631"/>
      <c r="BI131" s="515"/>
      <c r="BJ131" s="515"/>
      <c r="BK131" s="515"/>
      <c r="BL131" s="515"/>
      <c r="BM131" s="515"/>
      <c r="BN131" s="515"/>
      <c r="BO131" s="516"/>
    </row>
    <row r="132" spans="1:67" s="517" customFormat="1">
      <c r="A132"/>
      <c r="B132" s="107"/>
      <c r="C132" s="107"/>
      <c r="D132" s="107"/>
      <c r="E132" s="107"/>
      <c r="F132" s="107"/>
      <c r="G132"/>
      <c r="H132"/>
      <c r="I132" s="29"/>
      <c r="J132"/>
      <c r="K132" s="16"/>
      <c r="L132"/>
      <c r="M132" s="108"/>
      <c r="N132" s="102"/>
      <c r="O132" s="28"/>
      <c r="P132" s="103"/>
      <c r="Q132" s="102"/>
      <c r="R132" s="16"/>
      <c r="S132" s="104"/>
      <c r="T132" s="16"/>
      <c r="U132" s="104"/>
      <c r="V132" s="16"/>
      <c r="W132" s="104"/>
      <c r="X132" s="16"/>
      <c r="Y132" s="104"/>
      <c r="Z132" s="16"/>
      <c r="AA132" s="16"/>
      <c r="AB132" s="16"/>
      <c r="AC132" s="16"/>
      <c r="AD132" s="102"/>
      <c r="AE132" s="467"/>
      <c r="AF132" s="106"/>
      <c r="AG132" s="11"/>
      <c r="AH132" s="11"/>
      <c r="AI132" s="143"/>
      <c r="AJ132" s="105"/>
      <c r="AK132" s="519"/>
      <c r="AL132" s="519"/>
      <c r="AM132" s="519"/>
      <c r="AN132" s="519"/>
      <c r="AO132" s="519"/>
      <c r="AP132" s="519"/>
      <c r="AQ132" s="515"/>
      <c r="AR132" s="519"/>
      <c r="AS132" s="515"/>
      <c r="AT132" s="515"/>
      <c r="AU132" s="515"/>
      <c r="AV132" s="515"/>
      <c r="AW132" s="515"/>
      <c r="AX132" s="515"/>
      <c r="AY132" s="515"/>
      <c r="AZ132" s="515"/>
      <c r="BA132" s="515"/>
      <c r="BB132" s="515"/>
      <c r="BC132" s="643"/>
      <c r="BD132" s="515"/>
      <c r="BE132" s="515"/>
      <c r="BF132" s="515"/>
      <c r="BG132" s="515"/>
      <c r="BH132" s="631"/>
      <c r="BI132" s="515"/>
      <c r="BJ132" s="515"/>
      <c r="BK132" s="515"/>
      <c r="BL132" s="515"/>
      <c r="BM132" s="515"/>
      <c r="BN132" s="515"/>
      <c r="BO132" s="516"/>
    </row>
    <row r="133" spans="1:67" s="517" customFormat="1">
      <c r="A133"/>
      <c r="B133" s="107"/>
      <c r="C133" s="107"/>
      <c r="D133" s="107"/>
      <c r="E133" s="107"/>
      <c r="F133" s="107"/>
      <c r="G133"/>
      <c r="H133"/>
      <c r="I133" s="29"/>
      <c r="J133"/>
      <c r="K133" s="16"/>
      <c r="L133"/>
      <c r="M133" s="108"/>
      <c r="N133" s="102"/>
      <c r="O133" s="28"/>
      <c r="P133" s="103"/>
      <c r="Q133" s="102"/>
      <c r="R133" s="16"/>
      <c r="S133" s="104"/>
      <c r="T133" s="16"/>
      <c r="U133" s="104"/>
      <c r="V133" s="16"/>
      <c r="W133" s="104"/>
      <c r="X133" s="16"/>
      <c r="Y133" s="104"/>
      <c r="Z133" s="16"/>
      <c r="AA133" s="16"/>
      <c r="AB133" s="16"/>
      <c r="AC133" s="16"/>
      <c r="AD133" s="102"/>
      <c r="AE133" s="467"/>
      <c r="AF133" s="106"/>
      <c r="AG133" s="11"/>
      <c r="AH133" s="11"/>
      <c r="AI133" s="143"/>
      <c r="AJ133" s="105"/>
      <c r="AK133" s="519"/>
      <c r="AL133" s="519"/>
      <c r="AM133" s="519"/>
      <c r="AN133" s="519"/>
      <c r="AO133" s="519"/>
      <c r="AP133" s="519"/>
      <c r="AQ133" s="515"/>
      <c r="AR133" s="519"/>
      <c r="AS133" s="515"/>
      <c r="AT133" s="515"/>
      <c r="AU133" s="515"/>
      <c r="AV133" s="515"/>
      <c r="AW133" s="515"/>
      <c r="AX133" s="515"/>
      <c r="AY133" s="515"/>
      <c r="AZ133" s="515"/>
      <c r="BA133" s="515"/>
      <c r="BB133" s="515"/>
      <c r="BC133" s="643"/>
      <c r="BD133" s="515"/>
      <c r="BE133" s="515"/>
      <c r="BF133" s="515"/>
      <c r="BG133" s="515"/>
      <c r="BH133" s="631"/>
      <c r="BI133" s="515"/>
      <c r="BJ133" s="515"/>
      <c r="BK133" s="515"/>
      <c r="BL133" s="515"/>
      <c r="BM133" s="515"/>
      <c r="BN133" s="515"/>
      <c r="BO133" s="516"/>
    </row>
    <row r="134" spans="1:67" s="517" customFormat="1">
      <c r="A134"/>
      <c r="B134" s="107"/>
      <c r="C134" s="107"/>
      <c r="D134" s="107"/>
      <c r="E134" s="107"/>
      <c r="F134" s="107"/>
      <c r="G134"/>
      <c r="H134"/>
      <c r="I134" s="29"/>
      <c r="J134"/>
      <c r="K134" s="16"/>
      <c r="L134"/>
      <c r="M134" s="108"/>
      <c r="N134" s="102"/>
      <c r="O134" s="28"/>
      <c r="P134" s="103"/>
      <c r="Q134" s="102"/>
      <c r="R134" s="16"/>
      <c r="S134" s="104"/>
      <c r="T134" s="16"/>
      <c r="U134" s="104"/>
      <c r="V134" s="16"/>
      <c r="W134" s="104"/>
      <c r="X134" s="16"/>
      <c r="Y134" s="104"/>
      <c r="Z134" s="16"/>
      <c r="AA134" s="16"/>
      <c r="AB134" s="16"/>
      <c r="AC134" s="16"/>
      <c r="AD134" s="102"/>
      <c r="AE134" s="467"/>
      <c r="AF134" s="106"/>
      <c r="AG134" s="11"/>
      <c r="AH134" s="11"/>
      <c r="AI134" s="143"/>
      <c r="AJ134" s="105"/>
      <c r="AK134" s="519"/>
      <c r="AL134" s="519"/>
      <c r="AM134" s="519"/>
      <c r="AN134" s="519"/>
      <c r="AO134" s="519"/>
      <c r="AP134" s="519"/>
      <c r="AQ134" s="515"/>
      <c r="AR134" s="519"/>
      <c r="AS134" s="515"/>
      <c r="AT134" s="515"/>
      <c r="AU134" s="515"/>
      <c r="AV134" s="515"/>
      <c r="AW134" s="515"/>
      <c r="AX134" s="515"/>
      <c r="AY134" s="515"/>
      <c r="AZ134" s="515"/>
      <c r="BA134" s="515"/>
      <c r="BB134" s="515"/>
      <c r="BC134" s="643"/>
      <c r="BD134" s="515"/>
      <c r="BE134" s="515"/>
      <c r="BF134" s="515"/>
      <c r="BG134" s="515"/>
      <c r="BH134" s="631"/>
      <c r="BI134" s="515"/>
      <c r="BJ134" s="515"/>
      <c r="BK134" s="515"/>
      <c r="BL134" s="515"/>
      <c r="BM134" s="515"/>
      <c r="BN134" s="515"/>
      <c r="BO134" s="516"/>
    </row>
    <row r="135" spans="1:67" s="517" customFormat="1">
      <c r="A135"/>
      <c r="B135" s="107"/>
      <c r="C135" s="107"/>
      <c r="D135" s="107"/>
      <c r="E135" s="107"/>
      <c r="F135" s="107"/>
      <c r="G135"/>
      <c r="H135"/>
      <c r="I135" s="29"/>
      <c r="J135"/>
      <c r="K135" s="16"/>
      <c r="L135"/>
      <c r="M135" s="108"/>
      <c r="N135" s="102"/>
      <c r="O135" s="28"/>
      <c r="P135" s="103"/>
      <c r="Q135" s="102"/>
      <c r="R135" s="16"/>
      <c r="S135" s="104"/>
      <c r="T135" s="16"/>
      <c r="U135" s="104"/>
      <c r="V135" s="16"/>
      <c r="W135" s="104"/>
      <c r="X135" s="16"/>
      <c r="Y135" s="104"/>
      <c r="Z135" s="16"/>
      <c r="AA135" s="16"/>
      <c r="AB135" s="16"/>
      <c r="AC135" s="16"/>
      <c r="AD135" s="102"/>
      <c r="AE135" s="467"/>
      <c r="AF135" s="106"/>
      <c r="AG135" s="11"/>
      <c r="AH135" s="11"/>
      <c r="AI135" s="143"/>
      <c r="AJ135" s="105"/>
      <c r="AK135" s="519"/>
      <c r="AL135" s="519"/>
      <c r="AM135" s="519"/>
      <c r="AN135" s="519"/>
      <c r="AO135" s="519"/>
      <c r="AP135" s="519"/>
      <c r="AQ135" s="515"/>
      <c r="AR135" s="519"/>
      <c r="AS135" s="515"/>
      <c r="AT135" s="515"/>
      <c r="AU135" s="515"/>
      <c r="AV135" s="515"/>
      <c r="AW135" s="515"/>
      <c r="AX135" s="515"/>
      <c r="AY135" s="515"/>
      <c r="AZ135" s="515"/>
      <c r="BA135" s="515"/>
      <c r="BB135" s="515"/>
      <c r="BC135" s="643"/>
      <c r="BD135" s="515"/>
      <c r="BE135" s="515"/>
      <c r="BF135" s="515"/>
      <c r="BG135" s="515"/>
      <c r="BH135" s="631"/>
      <c r="BI135" s="515"/>
      <c r="BJ135" s="515"/>
      <c r="BK135" s="515"/>
      <c r="BL135" s="515"/>
      <c r="BM135" s="515"/>
      <c r="BN135" s="515"/>
      <c r="BO135" s="516"/>
    </row>
    <row r="136" spans="1:67" s="517" customFormat="1">
      <c r="A136"/>
      <c r="B136" s="107"/>
      <c r="C136" s="107"/>
      <c r="D136" s="107"/>
      <c r="E136" s="107"/>
      <c r="F136" s="107"/>
      <c r="G136"/>
      <c r="H136"/>
      <c r="I136" s="29"/>
      <c r="J136"/>
      <c r="K136" s="16"/>
      <c r="L136"/>
      <c r="M136" s="108"/>
      <c r="N136" s="102"/>
      <c r="O136" s="28"/>
      <c r="P136" s="103"/>
      <c r="Q136" s="102"/>
      <c r="R136" s="16"/>
      <c r="S136" s="104"/>
      <c r="T136" s="16"/>
      <c r="U136" s="104"/>
      <c r="V136" s="16"/>
      <c r="W136" s="104"/>
      <c r="X136" s="16"/>
      <c r="Y136" s="104"/>
      <c r="Z136" s="16"/>
      <c r="AA136" s="16"/>
      <c r="AB136" s="16"/>
      <c r="AC136" s="16"/>
      <c r="AD136" s="102"/>
      <c r="AE136" s="467"/>
      <c r="AF136" s="106"/>
      <c r="AG136" s="11"/>
      <c r="AH136" s="11"/>
      <c r="AI136" s="143"/>
      <c r="AJ136" s="105"/>
      <c r="AK136" s="519"/>
      <c r="AL136" s="519"/>
      <c r="AM136" s="519"/>
      <c r="AN136" s="519"/>
      <c r="AO136" s="519"/>
      <c r="AP136" s="519"/>
      <c r="AQ136" s="515"/>
      <c r="AR136" s="519"/>
      <c r="AS136" s="515"/>
      <c r="AT136" s="515"/>
      <c r="AU136" s="515"/>
      <c r="AV136" s="515"/>
      <c r="AW136" s="515"/>
      <c r="AX136" s="515"/>
      <c r="AY136" s="515"/>
      <c r="AZ136" s="515"/>
      <c r="BA136" s="515"/>
      <c r="BB136" s="515"/>
      <c r="BC136" s="643"/>
      <c r="BD136" s="515"/>
      <c r="BE136" s="515"/>
      <c r="BF136" s="515"/>
      <c r="BG136" s="515"/>
      <c r="BH136" s="631"/>
      <c r="BI136" s="515"/>
      <c r="BJ136" s="515"/>
      <c r="BK136" s="515"/>
      <c r="BL136" s="515"/>
      <c r="BM136" s="515"/>
      <c r="BN136" s="515"/>
      <c r="BO136" s="516"/>
    </row>
    <row r="137" spans="1:67" s="517" customFormat="1">
      <c r="A137"/>
      <c r="B137" s="107"/>
      <c r="C137" s="107"/>
      <c r="D137" s="107"/>
      <c r="E137" s="107"/>
      <c r="F137" s="107"/>
      <c r="G137"/>
      <c r="H137"/>
      <c r="I137" s="29"/>
      <c r="J137"/>
      <c r="K137" s="16"/>
      <c r="L137"/>
      <c r="M137" s="108"/>
      <c r="N137" s="102"/>
      <c r="O137" s="28"/>
      <c r="P137" s="103"/>
      <c r="Q137" s="102"/>
      <c r="R137" s="16"/>
      <c r="S137" s="104"/>
      <c r="T137" s="16"/>
      <c r="U137" s="104"/>
      <c r="V137" s="16"/>
      <c r="W137" s="104"/>
      <c r="X137" s="16"/>
      <c r="Y137" s="104"/>
      <c r="Z137" s="16"/>
      <c r="AA137" s="16"/>
      <c r="AB137" s="16"/>
      <c r="AC137" s="16"/>
      <c r="AD137" s="102"/>
      <c r="AE137" s="467"/>
      <c r="AF137" s="106"/>
      <c r="AG137" s="11"/>
      <c r="AH137" s="11"/>
      <c r="AI137" s="143"/>
      <c r="AJ137" s="105"/>
      <c r="AK137" s="519"/>
      <c r="AL137" s="519"/>
      <c r="AM137" s="519"/>
      <c r="AN137" s="519"/>
      <c r="AO137" s="519"/>
      <c r="AP137" s="519"/>
      <c r="AQ137" s="515"/>
      <c r="AR137" s="519"/>
      <c r="AS137" s="515"/>
      <c r="AT137" s="515"/>
      <c r="AU137" s="515"/>
      <c r="AV137" s="515"/>
      <c r="AW137" s="515"/>
      <c r="AX137" s="515"/>
      <c r="AY137" s="515"/>
      <c r="AZ137" s="515"/>
      <c r="BA137" s="515"/>
      <c r="BB137" s="515"/>
      <c r="BC137" s="643"/>
      <c r="BD137" s="515"/>
      <c r="BE137" s="515"/>
      <c r="BF137" s="515"/>
      <c r="BG137" s="515"/>
      <c r="BH137" s="631"/>
      <c r="BI137" s="515"/>
      <c r="BJ137" s="515"/>
      <c r="BK137" s="515"/>
      <c r="BL137" s="515"/>
      <c r="BM137" s="515"/>
      <c r="BN137" s="515"/>
      <c r="BO137" s="516"/>
    </row>
    <row r="138" spans="1:67" s="517" customFormat="1">
      <c r="A138"/>
      <c r="B138" s="107"/>
      <c r="C138" s="107"/>
      <c r="D138" s="107"/>
      <c r="E138" s="107"/>
      <c r="F138" s="107"/>
      <c r="G138"/>
      <c r="H138"/>
      <c r="I138" s="29"/>
      <c r="J138"/>
      <c r="K138" s="16"/>
      <c r="L138"/>
      <c r="M138" s="108"/>
      <c r="N138" s="102"/>
      <c r="O138" s="28"/>
      <c r="P138" s="103"/>
      <c r="Q138" s="102"/>
      <c r="R138" s="16"/>
      <c r="S138" s="104"/>
      <c r="T138" s="16"/>
      <c r="U138" s="104"/>
      <c r="V138" s="16"/>
      <c r="W138" s="104"/>
      <c r="X138" s="16"/>
      <c r="Y138" s="104"/>
      <c r="Z138" s="16"/>
      <c r="AA138" s="16"/>
      <c r="AB138" s="16"/>
      <c r="AC138" s="16"/>
      <c r="AD138" s="102"/>
      <c r="AE138" s="467"/>
      <c r="AF138" s="106"/>
      <c r="AG138" s="11"/>
      <c r="AH138" s="11"/>
      <c r="AI138" s="143"/>
      <c r="AJ138" s="105"/>
      <c r="AK138" s="519"/>
      <c r="AL138" s="519"/>
      <c r="AM138" s="519"/>
      <c r="AN138" s="519"/>
      <c r="AO138" s="519"/>
      <c r="AP138" s="519"/>
      <c r="AQ138" s="515"/>
      <c r="AR138" s="519"/>
      <c r="AS138" s="515"/>
      <c r="AT138" s="515"/>
      <c r="AU138" s="515"/>
      <c r="AV138" s="515"/>
      <c r="AW138" s="515"/>
      <c r="AX138" s="515"/>
      <c r="AY138" s="515"/>
      <c r="AZ138" s="515"/>
      <c r="BA138" s="515"/>
      <c r="BB138" s="515"/>
      <c r="BC138" s="643"/>
      <c r="BD138" s="515"/>
      <c r="BE138" s="515"/>
      <c r="BF138" s="515"/>
      <c r="BG138" s="515"/>
      <c r="BH138" s="631"/>
      <c r="BI138" s="515"/>
      <c r="BJ138" s="515"/>
      <c r="BK138" s="515"/>
      <c r="BL138" s="515"/>
      <c r="BM138" s="515"/>
      <c r="BN138" s="515"/>
      <c r="BO138" s="516"/>
    </row>
    <row r="139" spans="1:67" s="517" customFormat="1">
      <c r="A139"/>
      <c r="B139" s="107"/>
      <c r="C139" s="107"/>
      <c r="D139" s="107"/>
      <c r="E139" s="107"/>
      <c r="F139" s="107"/>
      <c r="G139"/>
      <c r="H139"/>
      <c r="I139" s="29"/>
      <c r="J139"/>
      <c r="K139" s="16"/>
      <c r="L139"/>
      <c r="M139" s="108"/>
      <c r="N139" s="102"/>
      <c r="O139" s="28"/>
      <c r="P139" s="103"/>
      <c r="Q139" s="102"/>
      <c r="R139" s="16"/>
      <c r="S139" s="104"/>
      <c r="T139" s="16"/>
      <c r="U139" s="104"/>
      <c r="V139" s="16"/>
      <c r="W139" s="104"/>
      <c r="X139" s="16"/>
      <c r="Y139" s="104"/>
      <c r="Z139" s="16"/>
      <c r="AA139" s="16"/>
      <c r="AB139" s="16"/>
      <c r="AC139" s="16"/>
      <c r="AD139" s="102"/>
      <c r="AE139" s="467"/>
      <c r="AF139" s="106"/>
      <c r="AG139" s="11"/>
      <c r="AH139" s="11"/>
      <c r="AI139" s="143"/>
      <c r="AJ139" s="105"/>
      <c r="AK139" s="519"/>
      <c r="AL139" s="519"/>
      <c r="AM139" s="519"/>
      <c r="AN139" s="519"/>
      <c r="AO139" s="519"/>
      <c r="AP139" s="519"/>
      <c r="AQ139" s="515"/>
      <c r="AR139" s="519"/>
      <c r="AS139" s="515"/>
      <c r="AT139" s="515"/>
      <c r="AU139" s="515"/>
      <c r="AV139" s="515"/>
      <c r="AW139" s="515"/>
      <c r="AX139" s="515"/>
      <c r="AY139" s="515"/>
      <c r="AZ139" s="515"/>
      <c r="BA139" s="515"/>
      <c r="BB139" s="515"/>
      <c r="BC139" s="643"/>
      <c r="BD139" s="515"/>
      <c r="BE139" s="515"/>
      <c r="BF139" s="515"/>
      <c r="BG139" s="515"/>
      <c r="BH139" s="631"/>
      <c r="BI139" s="515"/>
      <c r="BJ139" s="515"/>
      <c r="BK139" s="515"/>
      <c r="BL139" s="515"/>
      <c r="BM139" s="515"/>
      <c r="BN139" s="515"/>
      <c r="BO139" s="516"/>
    </row>
    <row r="140" spans="1:67" s="517" customFormat="1">
      <c r="A140"/>
      <c r="B140" s="107"/>
      <c r="C140" s="107"/>
      <c r="D140" s="107"/>
      <c r="E140" s="107"/>
      <c r="F140" s="107"/>
      <c r="G140"/>
      <c r="H140"/>
      <c r="I140" s="29"/>
      <c r="J140"/>
      <c r="K140" s="16"/>
      <c r="L140"/>
      <c r="M140" s="108"/>
      <c r="N140" s="102"/>
      <c r="O140" s="28"/>
      <c r="P140" s="103"/>
      <c r="Q140" s="102"/>
      <c r="R140" s="16"/>
      <c r="S140" s="104"/>
      <c r="T140" s="16"/>
      <c r="U140" s="104"/>
      <c r="V140" s="16"/>
      <c r="W140" s="104"/>
      <c r="X140" s="16"/>
      <c r="Y140" s="104"/>
      <c r="Z140" s="16"/>
      <c r="AA140" s="16"/>
      <c r="AB140" s="16"/>
      <c r="AC140" s="16"/>
      <c r="AD140" s="102"/>
      <c r="AE140" s="467"/>
      <c r="AF140" s="106"/>
      <c r="AG140" s="11"/>
      <c r="AH140" s="11"/>
      <c r="AI140" s="143"/>
      <c r="AJ140" s="105"/>
      <c r="AK140" s="519"/>
      <c r="AL140" s="519"/>
      <c r="AM140" s="519"/>
      <c r="AN140" s="519"/>
      <c r="AO140" s="519"/>
      <c r="AP140" s="519"/>
      <c r="AQ140" s="515"/>
      <c r="AR140" s="519"/>
      <c r="AS140" s="515"/>
      <c r="AT140" s="515"/>
      <c r="AU140" s="515"/>
      <c r="AV140" s="515"/>
      <c r="AW140" s="515"/>
      <c r="AX140" s="515"/>
      <c r="AY140" s="515"/>
      <c r="AZ140" s="515"/>
      <c r="BA140" s="515"/>
      <c r="BB140" s="515"/>
      <c r="BC140" s="643"/>
      <c r="BD140" s="515"/>
      <c r="BE140" s="515"/>
      <c r="BF140" s="515"/>
      <c r="BG140" s="515"/>
      <c r="BH140" s="631"/>
      <c r="BI140" s="515"/>
      <c r="BJ140" s="515"/>
      <c r="BK140" s="515"/>
      <c r="BL140" s="515"/>
      <c r="BM140" s="515"/>
      <c r="BN140" s="515"/>
      <c r="BO140" s="516"/>
    </row>
    <row r="141" spans="1:67" s="517" customFormat="1">
      <c r="A141"/>
      <c r="B141" s="107"/>
      <c r="C141" s="107"/>
      <c r="D141" s="107"/>
      <c r="E141" s="107"/>
      <c r="F141" s="107"/>
      <c r="G141"/>
      <c r="H141"/>
      <c r="I141" s="29"/>
      <c r="J141"/>
      <c r="K141" s="16"/>
      <c r="L141"/>
      <c r="M141" s="108"/>
      <c r="N141" s="102"/>
      <c r="O141" s="28"/>
      <c r="P141" s="103"/>
      <c r="Q141" s="102"/>
      <c r="R141" s="16"/>
      <c r="S141" s="104"/>
      <c r="T141" s="16"/>
      <c r="U141" s="104"/>
      <c r="V141" s="16"/>
      <c r="W141" s="104"/>
      <c r="X141" s="16"/>
      <c r="Y141" s="104"/>
      <c r="Z141" s="16"/>
      <c r="AA141" s="16"/>
      <c r="AB141" s="16"/>
      <c r="AC141" s="16"/>
      <c r="AD141" s="102"/>
      <c r="AE141" s="467"/>
      <c r="AF141" s="106"/>
      <c r="AG141" s="11"/>
      <c r="AH141" s="11"/>
      <c r="AI141" s="143"/>
      <c r="AJ141" s="105"/>
      <c r="AK141" s="519"/>
      <c r="AL141" s="519"/>
      <c r="AM141" s="519"/>
      <c r="AN141" s="519"/>
      <c r="AO141" s="519"/>
      <c r="AP141" s="519"/>
      <c r="AQ141" s="515"/>
      <c r="AR141" s="519"/>
      <c r="AS141" s="515"/>
      <c r="AT141" s="515"/>
      <c r="AU141" s="515"/>
      <c r="AV141" s="515"/>
      <c r="AW141" s="515"/>
      <c r="AX141" s="515"/>
      <c r="AY141" s="515"/>
      <c r="AZ141" s="515"/>
      <c r="BA141" s="515"/>
      <c r="BB141" s="515"/>
      <c r="BC141" s="643"/>
      <c r="BD141" s="515"/>
      <c r="BE141" s="515"/>
      <c r="BF141" s="515"/>
      <c r="BG141" s="515"/>
      <c r="BH141" s="631"/>
      <c r="BI141" s="515"/>
      <c r="BJ141" s="515"/>
      <c r="BK141" s="515"/>
      <c r="BL141" s="515"/>
      <c r="BM141" s="515"/>
      <c r="BN141" s="515"/>
      <c r="BO141" s="516"/>
    </row>
    <row r="142" spans="1:67" s="517" customFormat="1">
      <c r="A142"/>
      <c r="B142" s="107"/>
      <c r="C142" s="107"/>
      <c r="D142" s="107"/>
      <c r="E142" s="107"/>
      <c r="F142" s="107"/>
      <c r="G142"/>
      <c r="H142"/>
      <c r="I142" s="29"/>
      <c r="J142"/>
      <c r="K142" s="16"/>
      <c r="L142"/>
      <c r="M142" s="108"/>
      <c r="N142" s="102"/>
      <c r="O142" s="28"/>
      <c r="P142" s="103"/>
      <c r="Q142" s="102"/>
      <c r="R142" s="16"/>
      <c r="S142" s="104"/>
      <c r="T142" s="16"/>
      <c r="U142" s="104"/>
      <c r="V142" s="16"/>
      <c r="W142" s="104"/>
      <c r="X142" s="16"/>
      <c r="Y142" s="104"/>
      <c r="Z142" s="16"/>
      <c r="AA142" s="16"/>
      <c r="AB142" s="16"/>
      <c r="AC142" s="16"/>
      <c r="AD142" s="102"/>
      <c r="AE142" s="467"/>
      <c r="AF142" s="106"/>
      <c r="AG142" s="11"/>
      <c r="AH142" s="11"/>
      <c r="AI142" s="143"/>
      <c r="AJ142" s="105"/>
      <c r="AK142" s="519"/>
      <c r="AL142" s="519"/>
      <c r="AM142" s="519"/>
      <c r="AN142" s="519"/>
      <c r="AO142" s="519"/>
      <c r="AP142" s="519"/>
      <c r="AQ142" s="515"/>
      <c r="AR142" s="519"/>
      <c r="AS142" s="515"/>
      <c r="AT142" s="515"/>
      <c r="AU142" s="515"/>
      <c r="AV142" s="515"/>
      <c r="AW142" s="515"/>
      <c r="AX142" s="515"/>
      <c r="AY142" s="515"/>
      <c r="AZ142" s="515"/>
      <c r="BA142" s="515"/>
      <c r="BB142" s="515"/>
      <c r="BC142" s="643"/>
      <c r="BD142" s="515"/>
      <c r="BE142" s="515"/>
      <c r="BF142" s="515"/>
      <c r="BG142" s="515"/>
      <c r="BH142" s="631"/>
      <c r="BI142" s="515"/>
      <c r="BJ142" s="515"/>
      <c r="BK142" s="515"/>
      <c r="BL142" s="515"/>
      <c r="BM142" s="515"/>
      <c r="BN142" s="515"/>
      <c r="BO142" s="516"/>
    </row>
    <row r="143" spans="1:67" s="517" customFormat="1">
      <c r="A143"/>
      <c r="B143" s="107"/>
      <c r="C143" s="107"/>
      <c r="D143" s="107"/>
      <c r="E143" s="107"/>
      <c r="F143" s="107"/>
      <c r="G143"/>
      <c r="H143"/>
      <c r="I143" s="29"/>
      <c r="J143"/>
      <c r="K143" s="16"/>
      <c r="L143"/>
      <c r="M143" s="108"/>
      <c r="N143" s="102"/>
      <c r="O143" s="28"/>
      <c r="P143" s="103"/>
      <c r="Q143" s="102"/>
      <c r="R143" s="16"/>
      <c r="S143" s="104"/>
      <c r="T143" s="16"/>
      <c r="U143" s="104"/>
      <c r="V143" s="16"/>
      <c r="W143" s="104"/>
      <c r="X143" s="16"/>
      <c r="Y143" s="104"/>
      <c r="Z143" s="16"/>
      <c r="AA143" s="16"/>
      <c r="AB143" s="16"/>
      <c r="AC143" s="16"/>
      <c r="AD143" s="102"/>
      <c r="AE143" s="467"/>
      <c r="AF143" s="106"/>
      <c r="AG143" s="11"/>
      <c r="AH143" s="11"/>
      <c r="AI143" s="143"/>
      <c r="AJ143" s="105"/>
      <c r="AK143" s="519"/>
      <c r="AL143" s="519"/>
      <c r="AM143" s="519"/>
      <c r="AN143" s="519"/>
      <c r="AO143" s="519"/>
      <c r="AP143" s="519"/>
      <c r="AQ143" s="515"/>
      <c r="AR143" s="519"/>
      <c r="AS143" s="515"/>
      <c r="AT143" s="515"/>
      <c r="AU143" s="515"/>
      <c r="AV143" s="515"/>
      <c r="AW143" s="515"/>
      <c r="AX143" s="515"/>
      <c r="AY143" s="515"/>
      <c r="AZ143" s="515"/>
      <c r="BA143" s="515"/>
      <c r="BB143" s="515"/>
      <c r="BC143" s="643"/>
      <c r="BD143" s="515"/>
      <c r="BE143" s="515"/>
      <c r="BF143" s="515"/>
      <c r="BG143" s="515"/>
      <c r="BH143" s="631"/>
      <c r="BI143" s="515"/>
      <c r="BJ143" s="515"/>
      <c r="BK143" s="515"/>
      <c r="BL143" s="515"/>
      <c r="BM143" s="515"/>
      <c r="BN143" s="515"/>
      <c r="BO143" s="516"/>
    </row>
    <row r="144" spans="1:67" s="517" customFormat="1">
      <c r="A144"/>
      <c r="B144" s="107"/>
      <c r="C144" s="107"/>
      <c r="D144" s="107"/>
      <c r="E144" s="107"/>
      <c r="F144" s="107"/>
      <c r="G144"/>
      <c r="H144"/>
      <c r="I144" s="29"/>
      <c r="J144"/>
      <c r="K144" s="16"/>
      <c r="L144"/>
      <c r="M144" s="108"/>
      <c r="N144" s="102"/>
      <c r="O144" s="28"/>
      <c r="P144" s="103"/>
      <c r="Q144" s="102"/>
      <c r="R144" s="16"/>
      <c r="S144" s="104"/>
      <c r="T144" s="16"/>
      <c r="U144" s="104"/>
      <c r="V144" s="16"/>
      <c r="W144" s="104"/>
      <c r="X144" s="16"/>
      <c r="Y144" s="104"/>
      <c r="Z144" s="16"/>
      <c r="AA144" s="16"/>
      <c r="AB144" s="16"/>
      <c r="AC144" s="16"/>
      <c r="AD144" s="102"/>
      <c r="AE144" s="467"/>
      <c r="AF144" s="106"/>
      <c r="AG144" s="11"/>
      <c r="AH144" s="11"/>
      <c r="AI144" s="143"/>
      <c r="AJ144" s="105"/>
      <c r="AK144" s="519"/>
      <c r="AL144" s="519"/>
      <c r="AM144" s="519"/>
      <c r="AN144" s="519"/>
      <c r="AO144" s="519"/>
      <c r="AP144" s="519"/>
      <c r="AQ144" s="515"/>
      <c r="AR144" s="519"/>
      <c r="AS144" s="515"/>
      <c r="AT144" s="515"/>
      <c r="AU144" s="515"/>
      <c r="AV144" s="515"/>
      <c r="AW144" s="515"/>
      <c r="AX144" s="515"/>
      <c r="AY144" s="515"/>
      <c r="AZ144" s="515"/>
      <c r="BA144" s="515"/>
      <c r="BB144" s="515"/>
      <c r="BC144" s="643"/>
      <c r="BD144" s="515"/>
      <c r="BE144" s="515"/>
      <c r="BF144" s="515"/>
      <c r="BG144" s="515"/>
      <c r="BH144" s="631"/>
      <c r="BI144" s="515"/>
      <c r="BJ144" s="515"/>
      <c r="BK144" s="515"/>
      <c r="BL144" s="515"/>
      <c r="BM144" s="515"/>
      <c r="BN144" s="515"/>
      <c r="BO144" s="516"/>
    </row>
    <row r="145" spans="1:67" s="517" customFormat="1">
      <c r="A145"/>
      <c r="B145" s="107"/>
      <c r="C145" s="107"/>
      <c r="D145" s="107"/>
      <c r="E145" s="107"/>
      <c r="F145" s="107"/>
      <c r="G145"/>
      <c r="H145"/>
      <c r="I145" s="29"/>
      <c r="J145"/>
      <c r="K145" s="16"/>
      <c r="L145"/>
      <c r="M145" s="108"/>
      <c r="N145" s="102"/>
      <c r="O145" s="28"/>
      <c r="P145" s="103"/>
      <c r="Q145" s="102"/>
      <c r="R145" s="16"/>
      <c r="S145" s="104"/>
      <c r="T145" s="16"/>
      <c r="U145" s="104"/>
      <c r="V145" s="16"/>
      <c r="W145" s="104"/>
      <c r="X145" s="16"/>
      <c r="Y145" s="104"/>
      <c r="Z145" s="16"/>
      <c r="AA145" s="16"/>
      <c r="AB145" s="16"/>
      <c r="AC145" s="16"/>
      <c r="AD145" s="102"/>
      <c r="AE145" s="467"/>
      <c r="AF145" s="106"/>
      <c r="AG145" s="11"/>
      <c r="AH145" s="11"/>
      <c r="AI145" s="143"/>
      <c r="AJ145" s="105"/>
      <c r="AK145" s="519"/>
      <c r="AL145" s="519"/>
      <c r="AM145" s="519"/>
      <c r="AN145" s="519"/>
      <c r="AO145" s="519"/>
      <c r="AP145" s="519"/>
      <c r="AQ145" s="515"/>
      <c r="AR145" s="519"/>
      <c r="AS145" s="515"/>
      <c r="AT145" s="515"/>
      <c r="AU145" s="515"/>
      <c r="AV145" s="515"/>
      <c r="AW145" s="515"/>
      <c r="AX145" s="515"/>
      <c r="AY145" s="515"/>
      <c r="AZ145" s="515"/>
      <c r="BA145" s="515"/>
      <c r="BB145" s="515"/>
      <c r="BC145" s="643"/>
      <c r="BD145" s="515"/>
      <c r="BE145" s="515"/>
      <c r="BF145" s="515"/>
      <c r="BG145" s="515"/>
      <c r="BH145" s="631"/>
      <c r="BI145" s="515"/>
      <c r="BJ145" s="515"/>
      <c r="BK145" s="515"/>
      <c r="BL145" s="515"/>
      <c r="BM145" s="515"/>
      <c r="BN145" s="515"/>
      <c r="BO145" s="516"/>
    </row>
    <row r="146" spans="1:67" s="517" customFormat="1">
      <c r="A146"/>
      <c r="B146" s="107"/>
      <c r="C146" s="107"/>
      <c r="D146" s="107"/>
      <c r="E146" s="107"/>
      <c r="F146" s="107"/>
      <c r="G146"/>
      <c r="H146"/>
      <c r="I146" s="29"/>
      <c r="J146"/>
      <c r="K146" s="16"/>
      <c r="L146"/>
      <c r="M146" s="108"/>
      <c r="N146" s="102"/>
      <c r="O146" s="28"/>
      <c r="P146" s="103"/>
      <c r="Q146" s="102"/>
      <c r="R146" s="16"/>
      <c r="S146" s="104"/>
      <c r="T146" s="16"/>
      <c r="U146" s="104"/>
      <c r="V146" s="16"/>
      <c r="W146" s="104"/>
      <c r="X146" s="16"/>
      <c r="Y146" s="104"/>
      <c r="Z146" s="16"/>
      <c r="AA146" s="16"/>
      <c r="AB146" s="16"/>
      <c r="AC146" s="16"/>
      <c r="AD146" s="102"/>
      <c r="AE146" s="467"/>
      <c r="AF146" s="106"/>
      <c r="AG146" s="11"/>
      <c r="AH146" s="11"/>
      <c r="AI146" s="143"/>
      <c r="AJ146" s="105"/>
      <c r="AK146" s="519"/>
      <c r="AL146" s="519"/>
      <c r="AM146" s="519"/>
      <c r="AN146" s="519"/>
      <c r="AO146" s="519"/>
      <c r="AP146" s="519"/>
      <c r="AQ146" s="515"/>
      <c r="AR146" s="519"/>
      <c r="AS146" s="515"/>
      <c r="AT146" s="515"/>
      <c r="AU146" s="515"/>
      <c r="AV146" s="515"/>
      <c r="AW146" s="515"/>
      <c r="AX146" s="515"/>
      <c r="AY146" s="515"/>
      <c r="AZ146" s="515"/>
      <c r="BA146" s="515"/>
      <c r="BB146" s="515"/>
      <c r="BC146" s="643"/>
      <c r="BD146" s="515"/>
      <c r="BE146" s="515"/>
      <c r="BF146" s="515"/>
      <c r="BG146" s="515"/>
      <c r="BH146" s="631"/>
      <c r="BI146" s="515"/>
      <c r="BJ146" s="515"/>
      <c r="BK146" s="515"/>
      <c r="BL146" s="515"/>
      <c r="BM146" s="515"/>
      <c r="BN146" s="515"/>
      <c r="BO146" s="516"/>
    </row>
    <row r="147" spans="1:67" s="517" customFormat="1">
      <c r="A147"/>
      <c r="B147" s="107"/>
      <c r="C147" s="107"/>
      <c r="D147" s="107"/>
      <c r="E147" s="107"/>
      <c r="F147" s="107"/>
      <c r="G147"/>
      <c r="H147"/>
      <c r="I147" s="29"/>
      <c r="J147"/>
      <c r="K147" s="16"/>
      <c r="L147"/>
      <c r="M147" s="108"/>
      <c r="N147" s="102"/>
      <c r="O147" s="28"/>
      <c r="P147" s="103"/>
      <c r="Q147" s="102"/>
      <c r="R147" s="16"/>
      <c r="S147" s="104"/>
      <c r="T147" s="16"/>
      <c r="U147" s="104"/>
      <c r="V147" s="16"/>
      <c r="W147" s="104"/>
      <c r="X147" s="16"/>
      <c r="Y147" s="104"/>
      <c r="Z147" s="16"/>
      <c r="AA147" s="16"/>
      <c r="AB147" s="16"/>
      <c r="AC147" s="16"/>
      <c r="AD147" s="102"/>
      <c r="AE147" s="467"/>
      <c r="AF147" s="106"/>
      <c r="AG147" s="11"/>
      <c r="AH147" s="11"/>
      <c r="AI147" s="143"/>
      <c r="AJ147" s="105"/>
      <c r="AK147" s="519"/>
      <c r="AL147" s="519"/>
      <c r="AM147" s="519"/>
      <c r="AN147" s="519"/>
      <c r="AO147" s="519"/>
      <c r="AP147" s="519"/>
      <c r="AQ147" s="515"/>
      <c r="AR147" s="519"/>
      <c r="AS147" s="515"/>
      <c r="AT147" s="515"/>
      <c r="AU147" s="515"/>
      <c r="AV147" s="515"/>
      <c r="AW147" s="515"/>
      <c r="AX147" s="515"/>
      <c r="AY147" s="515"/>
      <c r="AZ147" s="515"/>
      <c r="BA147" s="515"/>
      <c r="BB147" s="515"/>
      <c r="BC147" s="643"/>
      <c r="BD147" s="515"/>
      <c r="BE147" s="515"/>
      <c r="BF147" s="515"/>
      <c r="BG147" s="515"/>
      <c r="BH147" s="631"/>
      <c r="BI147" s="515"/>
      <c r="BJ147" s="515"/>
      <c r="BK147" s="515"/>
      <c r="BL147" s="515"/>
      <c r="BM147" s="515"/>
      <c r="BN147" s="515"/>
      <c r="BO147" s="516"/>
    </row>
    <row r="148" spans="1:67" s="517" customFormat="1">
      <c r="A148"/>
      <c r="B148" s="107"/>
      <c r="C148" s="107"/>
      <c r="D148" s="107"/>
      <c r="E148" s="107"/>
      <c r="F148" s="107"/>
      <c r="G148"/>
      <c r="H148"/>
      <c r="I148" s="29"/>
      <c r="J148"/>
      <c r="K148" s="16"/>
      <c r="L148"/>
      <c r="M148" s="108"/>
      <c r="N148" s="102"/>
      <c r="O148" s="28"/>
      <c r="P148" s="103"/>
      <c r="Q148" s="102"/>
      <c r="R148" s="16"/>
      <c r="S148" s="104"/>
      <c r="T148" s="16"/>
      <c r="U148" s="104"/>
      <c r="V148" s="16"/>
      <c r="W148" s="104"/>
      <c r="X148" s="16"/>
      <c r="Y148" s="104"/>
      <c r="Z148" s="16"/>
      <c r="AA148" s="16"/>
      <c r="AB148" s="16"/>
      <c r="AC148" s="16"/>
      <c r="AD148" s="102"/>
      <c r="AE148" s="467"/>
      <c r="AF148" s="106"/>
      <c r="AG148" s="11"/>
      <c r="AH148" s="11"/>
      <c r="AI148" s="143"/>
      <c r="AJ148" s="105"/>
      <c r="AK148" s="519"/>
      <c r="AL148" s="519"/>
      <c r="AM148" s="519"/>
      <c r="AN148" s="519"/>
      <c r="AO148" s="519"/>
      <c r="AP148" s="519"/>
      <c r="AQ148" s="515"/>
      <c r="AR148" s="519"/>
      <c r="AS148" s="515"/>
      <c r="AT148" s="515"/>
      <c r="AU148" s="515"/>
      <c r="AV148" s="515"/>
      <c r="AW148" s="515"/>
      <c r="AX148" s="515"/>
      <c r="AY148" s="515"/>
      <c r="AZ148" s="515"/>
      <c r="BA148" s="515"/>
      <c r="BB148" s="515"/>
      <c r="BC148" s="643"/>
      <c r="BD148" s="515"/>
      <c r="BE148" s="515"/>
      <c r="BF148" s="515"/>
      <c r="BG148" s="515"/>
      <c r="BH148" s="631"/>
      <c r="BI148" s="515"/>
      <c r="BJ148" s="515"/>
      <c r="BK148" s="515"/>
      <c r="BL148" s="515"/>
      <c r="BM148" s="515"/>
      <c r="BN148" s="515"/>
      <c r="BO148" s="516"/>
    </row>
    <row r="149" spans="1:67" s="517" customFormat="1">
      <c r="A149"/>
      <c r="B149" s="107"/>
      <c r="C149" s="107"/>
      <c r="D149" s="107"/>
      <c r="E149" s="107"/>
      <c r="F149" s="107"/>
      <c r="G149"/>
      <c r="H149"/>
      <c r="I149" s="29"/>
      <c r="J149"/>
      <c r="K149" s="16"/>
      <c r="L149"/>
      <c r="M149" s="108"/>
      <c r="N149" s="102"/>
      <c r="O149" s="28"/>
      <c r="P149" s="103"/>
      <c r="Q149" s="102"/>
      <c r="R149" s="16"/>
      <c r="S149" s="104"/>
      <c r="T149" s="16"/>
      <c r="U149" s="104"/>
      <c r="V149" s="16"/>
      <c r="W149" s="104"/>
      <c r="X149" s="16"/>
      <c r="Y149" s="104"/>
      <c r="Z149" s="16"/>
      <c r="AA149" s="16"/>
      <c r="AB149" s="16"/>
      <c r="AC149" s="16"/>
      <c r="AD149" s="102"/>
      <c r="AE149" s="467"/>
      <c r="AF149" s="106"/>
      <c r="AG149" s="11"/>
      <c r="AH149" s="11"/>
      <c r="AI149" s="143"/>
      <c r="AJ149" s="105"/>
      <c r="AK149" s="519"/>
      <c r="AL149" s="519"/>
      <c r="AM149" s="519"/>
      <c r="AN149" s="519"/>
      <c r="AO149" s="519"/>
      <c r="AP149" s="519"/>
      <c r="AQ149" s="515"/>
      <c r="AR149" s="519"/>
      <c r="AS149" s="515"/>
      <c r="AT149" s="515"/>
      <c r="AU149" s="515"/>
      <c r="AV149" s="515"/>
      <c r="AW149" s="515"/>
      <c r="AX149" s="515"/>
      <c r="AY149" s="515"/>
      <c r="AZ149" s="515"/>
      <c r="BA149" s="515"/>
      <c r="BB149" s="515"/>
      <c r="BC149" s="643"/>
      <c r="BD149" s="515"/>
      <c r="BE149" s="515"/>
      <c r="BF149" s="515"/>
      <c r="BG149" s="515"/>
      <c r="BH149" s="631"/>
      <c r="BI149" s="515"/>
      <c r="BJ149" s="515"/>
      <c r="BK149" s="515"/>
      <c r="BL149" s="515"/>
      <c r="BM149" s="515"/>
      <c r="BN149" s="515"/>
      <c r="BO149" s="516"/>
    </row>
    <row r="150" spans="1:67" s="517" customFormat="1">
      <c r="A150"/>
      <c r="B150" s="107"/>
      <c r="C150" s="107"/>
      <c r="D150" s="107"/>
      <c r="E150" s="107"/>
      <c r="F150" s="107"/>
      <c r="G150"/>
      <c r="H150"/>
      <c r="I150" s="29"/>
      <c r="J150"/>
      <c r="K150" s="16"/>
      <c r="L150"/>
      <c r="M150" s="108"/>
      <c r="N150" s="102"/>
      <c r="O150" s="28"/>
      <c r="P150" s="103"/>
      <c r="Q150" s="102"/>
      <c r="R150" s="16"/>
      <c r="S150" s="104"/>
      <c r="T150" s="16"/>
      <c r="U150" s="104"/>
      <c r="V150" s="16"/>
      <c r="W150" s="104"/>
      <c r="X150" s="16"/>
      <c r="Y150" s="104"/>
      <c r="Z150" s="16"/>
      <c r="AA150" s="16"/>
      <c r="AB150" s="16"/>
      <c r="AC150" s="16"/>
      <c r="AD150" s="102"/>
      <c r="AE150" s="467"/>
      <c r="AF150" s="106"/>
      <c r="AG150" s="11"/>
      <c r="AH150" s="11"/>
      <c r="AI150" s="143"/>
      <c r="AJ150" s="105"/>
      <c r="AK150" s="519"/>
      <c r="AL150" s="519"/>
      <c r="AM150" s="519"/>
      <c r="AN150" s="519"/>
      <c r="AO150" s="519"/>
      <c r="AP150" s="519"/>
      <c r="AQ150" s="515"/>
      <c r="AR150" s="519"/>
      <c r="AS150" s="515"/>
      <c r="AT150" s="515"/>
      <c r="AU150" s="515"/>
      <c r="AV150" s="515"/>
      <c r="AW150" s="515"/>
      <c r="AX150" s="515"/>
      <c r="AY150" s="515"/>
      <c r="AZ150" s="515"/>
      <c r="BA150" s="515"/>
      <c r="BB150" s="515"/>
      <c r="BC150" s="643"/>
      <c r="BD150" s="515"/>
      <c r="BE150" s="515"/>
      <c r="BF150" s="515"/>
      <c r="BG150" s="515"/>
      <c r="BH150" s="631"/>
      <c r="BI150" s="515"/>
      <c r="BJ150" s="515"/>
      <c r="BK150" s="515"/>
      <c r="BL150" s="515"/>
      <c r="BM150" s="515"/>
      <c r="BN150" s="515"/>
      <c r="BO150" s="516"/>
    </row>
    <row r="151" spans="1:67" s="517" customFormat="1">
      <c r="A151"/>
      <c r="B151" s="107"/>
      <c r="C151" s="107"/>
      <c r="D151" s="107"/>
      <c r="E151" s="107"/>
      <c r="F151" s="107"/>
      <c r="G151"/>
      <c r="H151"/>
      <c r="I151" s="29"/>
      <c r="J151"/>
      <c r="K151" s="16"/>
      <c r="L151"/>
      <c r="M151" s="108"/>
      <c r="N151" s="102"/>
      <c r="O151" s="28"/>
      <c r="P151" s="103"/>
      <c r="Q151" s="102"/>
      <c r="R151" s="16"/>
      <c r="S151" s="104"/>
      <c r="T151" s="16"/>
      <c r="U151" s="104"/>
      <c r="V151" s="16"/>
      <c r="W151" s="104"/>
      <c r="X151" s="16"/>
      <c r="Y151" s="104"/>
      <c r="Z151" s="16"/>
      <c r="AA151" s="16"/>
      <c r="AB151" s="16"/>
      <c r="AC151" s="16"/>
      <c r="AD151" s="102"/>
      <c r="AE151" s="467"/>
      <c r="AF151" s="106"/>
      <c r="AG151" s="11"/>
      <c r="AH151" s="11"/>
      <c r="AI151" s="143"/>
      <c r="AJ151" s="105"/>
      <c r="AK151" s="519"/>
      <c r="AL151" s="519"/>
      <c r="AM151" s="519"/>
      <c r="AN151" s="519"/>
      <c r="AO151" s="519"/>
      <c r="AP151" s="519"/>
      <c r="AQ151" s="515"/>
      <c r="AR151" s="519"/>
      <c r="AS151" s="515"/>
      <c r="AT151" s="515"/>
      <c r="AU151" s="515"/>
      <c r="AV151" s="515"/>
      <c r="AW151" s="515"/>
      <c r="AX151" s="515"/>
      <c r="AY151" s="515"/>
      <c r="AZ151" s="515"/>
      <c r="BA151" s="515"/>
      <c r="BB151" s="515"/>
      <c r="BC151" s="643"/>
      <c r="BD151" s="515"/>
      <c r="BE151" s="515"/>
      <c r="BF151" s="515"/>
      <c r="BG151" s="515"/>
      <c r="BH151" s="631"/>
      <c r="BI151" s="515"/>
      <c r="BJ151" s="515"/>
      <c r="BK151" s="515"/>
      <c r="BL151" s="515"/>
      <c r="BM151" s="515"/>
      <c r="BN151" s="515"/>
      <c r="BO151" s="516"/>
    </row>
    <row r="152" spans="1:67" s="517" customFormat="1">
      <c r="A152"/>
      <c r="B152" s="107"/>
      <c r="C152" s="107"/>
      <c r="D152" s="107"/>
      <c r="E152" s="107"/>
      <c r="F152" s="107"/>
      <c r="G152"/>
      <c r="H152"/>
      <c r="I152" s="29"/>
      <c r="J152"/>
      <c r="K152" s="16"/>
      <c r="L152"/>
      <c r="M152" s="108"/>
      <c r="N152" s="102"/>
      <c r="O152" s="28"/>
      <c r="P152" s="103"/>
      <c r="Q152" s="102"/>
      <c r="R152" s="16"/>
      <c r="S152" s="104"/>
      <c r="T152" s="16"/>
      <c r="U152" s="104"/>
      <c r="V152" s="16"/>
      <c r="W152" s="104"/>
      <c r="X152" s="16"/>
      <c r="Y152" s="104"/>
      <c r="Z152" s="16"/>
      <c r="AA152" s="16"/>
      <c r="AB152" s="16"/>
      <c r="AC152" s="16"/>
      <c r="AD152" s="102"/>
      <c r="AE152" s="467"/>
      <c r="AF152" s="106"/>
      <c r="AG152" s="11"/>
      <c r="AH152" s="11"/>
      <c r="AI152" s="143"/>
      <c r="AJ152" s="105"/>
      <c r="AK152" s="519"/>
      <c r="AL152" s="519"/>
      <c r="AM152" s="519"/>
      <c r="AN152" s="519"/>
      <c r="AO152" s="519"/>
      <c r="AP152" s="519"/>
      <c r="AQ152" s="515"/>
      <c r="AR152" s="519"/>
      <c r="AS152" s="515"/>
      <c r="AT152" s="515"/>
      <c r="AU152" s="515"/>
      <c r="AV152" s="515"/>
      <c r="AW152" s="515"/>
      <c r="AX152" s="515"/>
      <c r="AY152" s="515"/>
      <c r="AZ152" s="515"/>
      <c r="BA152" s="515"/>
      <c r="BB152" s="515"/>
      <c r="BC152" s="643"/>
      <c r="BD152" s="515"/>
      <c r="BE152" s="515"/>
      <c r="BF152" s="515"/>
      <c r="BG152" s="515"/>
      <c r="BH152" s="631"/>
      <c r="BI152" s="515"/>
      <c r="BJ152" s="515"/>
      <c r="BK152" s="515"/>
      <c r="BL152" s="515"/>
      <c r="BM152" s="515"/>
      <c r="BN152" s="515"/>
      <c r="BO152" s="516"/>
    </row>
    <row r="153" spans="1:67" s="517" customFormat="1">
      <c r="A153"/>
      <c r="B153" s="107"/>
      <c r="C153" s="107"/>
      <c r="D153" s="107"/>
      <c r="E153" s="107"/>
      <c r="F153" s="107"/>
      <c r="G153"/>
      <c r="H153"/>
      <c r="I153" s="29"/>
      <c r="J153"/>
      <c r="K153" s="16"/>
      <c r="L153"/>
      <c r="M153" s="108"/>
      <c r="N153" s="102"/>
      <c r="O153" s="28"/>
      <c r="P153" s="103"/>
      <c r="Q153" s="102"/>
      <c r="R153" s="16"/>
      <c r="S153" s="104"/>
      <c r="T153" s="16"/>
      <c r="U153" s="104"/>
      <c r="V153" s="16"/>
      <c r="W153" s="104"/>
      <c r="X153" s="16"/>
      <c r="Y153" s="104"/>
      <c r="Z153" s="16"/>
      <c r="AA153" s="16"/>
      <c r="AB153" s="16"/>
      <c r="AC153" s="16"/>
      <c r="AD153" s="102"/>
      <c r="AE153" s="467"/>
      <c r="AF153" s="106"/>
      <c r="AG153" s="11"/>
      <c r="AH153" s="11"/>
      <c r="AI153" s="143"/>
      <c r="AJ153" s="105"/>
      <c r="AK153" s="519"/>
      <c r="AL153" s="519"/>
      <c r="AM153" s="519"/>
      <c r="AN153" s="519"/>
      <c r="AO153" s="519"/>
      <c r="AP153" s="519"/>
      <c r="AQ153" s="515"/>
      <c r="AR153" s="519"/>
      <c r="AS153" s="515"/>
      <c r="AT153" s="515"/>
      <c r="AU153" s="515"/>
      <c r="AV153" s="515"/>
      <c r="AW153" s="515"/>
      <c r="AX153" s="515"/>
      <c r="AY153" s="515"/>
      <c r="AZ153" s="515"/>
      <c r="BA153" s="515"/>
      <c r="BB153" s="515"/>
      <c r="BC153" s="643"/>
      <c r="BD153" s="515"/>
      <c r="BE153" s="515"/>
      <c r="BF153" s="515"/>
      <c r="BG153" s="515"/>
      <c r="BH153" s="631"/>
      <c r="BI153" s="515"/>
      <c r="BJ153" s="515"/>
      <c r="BK153" s="515"/>
      <c r="BL153" s="515"/>
      <c r="BM153" s="515"/>
      <c r="BN153" s="515"/>
      <c r="BO153" s="516"/>
    </row>
    <row r="154" spans="1:67" s="517" customFormat="1">
      <c r="A154"/>
      <c r="B154" s="107"/>
      <c r="C154" s="107"/>
      <c r="D154" s="107"/>
      <c r="E154" s="107"/>
      <c r="F154" s="107"/>
      <c r="G154"/>
      <c r="H154"/>
      <c r="I154" s="29"/>
      <c r="J154"/>
      <c r="K154" s="16"/>
      <c r="L154"/>
      <c r="M154" s="108"/>
      <c r="N154" s="102"/>
      <c r="O154" s="28"/>
      <c r="P154" s="103"/>
      <c r="Q154" s="102"/>
      <c r="R154" s="16"/>
      <c r="S154" s="104"/>
      <c r="T154" s="16"/>
      <c r="U154" s="104"/>
      <c r="V154" s="16"/>
      <c r="W154" s="104"/>
      <c r="X154" s="16"/>
      <c r="Y154" s="104"/>
      <c r="Z154" s="16"/>
      <c r="AA154" s="16"/>
      <c r="AB154" s="16"/>
      <c r="AC154" s="16"/>
      <c r="AD154" s="102"/>
      <c r="AE154" s="467"/>
      <c r="AF154" s="106"/>
      <c r="AG154" s="11"/>
      <c r="AH154" s="11"/>
      <c r="AI154" s="143"/>
      <c r="AJ154" s="105"/>
      <c r="AK154" s="519"/>
      <c r="AL154" s="519"/>
      <c r="AM154" s="519"/>
      <c r="AN154" s="519"/>
      <c r="AO154" s="519"/>
      <c r="AP154" s="519"/>
      <c r="AQ154" s="515"/>
      <c r="AR154" s="519"/>
      <c r="AS154" s="515"/>
      <c r="AT154" s="515"/>
      <c r="AU154" s="515"/>
      <c r="AV154" s="515"/>
      <c r="AW154" s="515"/>
      <c r="AX154" s="515"/>
      <c r="AY154" s="515"/>
      <c r="AZ154" s="515"/>
      <c r="BA154" s="515"/>
      <c r="BB154" s="515"/>
      <c r="BC154" s="643"/>
      <c r="BD154" s="515"/>
      <c r="BE154" s="515"/>
      <c r="BF154" s="515"/>
      <c r="BG154" s="515"/>
      <c r="BH154" s="631"/>
      <c r="BI154" s="515"/>
      <c r="BJ154" s="515"/>
      <c r="BK154" s="515"/>
      <c r="BL154" s="515"/>
      <c r="BM154" s="515"/>
      <c r="BN154" s="515"/>
      <c r="BO154" s="516"/>
    </row>
    <row r="155" spans="1:67" s="517" customFormat="1">
      <c r="A155"/>
      <c r="B155" s="107"/>
      <c r="C155" s="107"/>
      <c r="D155" s="107"/>
      <c r="E155" s="107"/>
      <c r="F155" s="107"/>
      <c r="G155"/>
      <c r="H155"/>
      <c r="I155" s="29"/>
      <c r="J155"/>
      <c r="K155" s="16"/>
      <c r="L155"/>
      <c r="M155" s="108"/>
      <c r="N155" s="102"/>
      <c r="O155" s="28"/>
      <c r="P155" s="103"/>
      <c r="Q155" s="102"/>
      <c r="R155" s="16"/>
      <c r="S155" s="104"/>
      <c r="T155" s="16"/>
      <c r="U155" s="104"/>
      <c r="V155" s="16"/>
      <c r="W155" s="104"/>
      <c r="X155" s="16"/>
      <c r="Y155" s="104"/>
      <c r="Z155" s="16"/>
      <c r="AA155" s="16"/>
      <c r="AB155" s="16"/>
      <c r="AC155" s="16"/>
      <c r="AD155" s="102"/>
      <c r="AE155" s="467"/>
      <c r="AF155" s="106"/>
      <c r="AG155" s="11"/>
      <c r="AH155" s="11"/>
      <c r="AI155" s="143"/>
      <c r="AJ155" s="105"/>
      <c r="AK155" s="519"/>
      <c r="AL155" s="519"/>
      <c r="AM155" s="519"/>
      <c r="AN155" s="519"/>
      <c r="AO155" s="519"/>
      <c r="AP155" s="519"/>
      <c r="AQ155" s="515"/>
      <c r="AR155" s="519"/>
      <c r="AS155" s="515"/>
      <c r="AT155" s="515"/>
      <c r="AU155" s="515"/>
      <c r="AV155" s="515"/>
      <c r="AW155" s="515"/>
      <c r="AX155" s="515"/>
      <c r="AY155" s="515"/>
      <c r="AZ155" s="515"/>
      <c r="BA155" s="515"/>
      <c r="BB155" s="515"/>
      <c r="BC155" s="643"/>
      <c r="BD155" s="515"/>
      <c r="BE155" s="515"/>
      <c r="BF155" s="515"/>
      <c r="BG155" s="515"/>
      <c r="BH155" s="631"/>
      <c r="BI155" s="515"/>
      <c r="BJ155" s="515"/>
      <c r="BK155" s="515"/>
      <c r="BL155" s="515"/>
      <c r="BM155" s="515"/>
      <c r="BN155" s="515"/>
      <c r="BO155" s="516"/>
    </row>
    <row r="156" spans="1:67" s="517" customFormat="1">
      <c r="A156"/>
      <c r="B156" s="107"/>
      <c r="C156" s="107"/>
      <c r="D156" s="107"/>
      <c r="E156" s="107"/>
      <c r="F156" s="107"/>
      <c r="G156"/>
      <c r="H156"/>
      <c r="I156" s="29"/>
      <c r="J156"/>
      <c r="K156" s="16"/>
      <c r="L156"/>
      <c r="M156" s="108"/>
      <c r="N156" s="102"/>
      <c r="O156" s="28"/>
      <c r="P156" s="103"/>
      <c r="Q156" s="102"/>
      <c r="R156" s="16"/>
      <c r="S156" s="104"/>
      <c r="T156" s="16"/>
      <c r="U156" s="104"/>
      <c r="V156" s="16"/>
      <c r="W156" s="104"/>
      <c r="X156" s="16"/>
      <c r="Y156" s="104"/>
      <c r="Z156" s="16"/>
      <c r="AA156" s="16"/>
      <c r="AB156" s="16"/>
      <c r="AC156" s="16"/>
      <c r="AD156" s="102"/>
      <c r="AE156" s="467"/>
      <c r="AF156" s="106"/>
      <c r="AG156" s="11"/>
      <c r="AH156" s="11"/>
      <c r="AI156" s="143"/>
      <c r="AJ156" s="105"/>
      <c r="AK156" s="519"/>
      <c r="AL156" s="519"/>
      <c r="AM156" s="519"/>
      <c r="AN156" s="519"/>
      <c r="AO156" s="519"/>
      <c r="AP156" s="519"/>
      <c r="AQ156" s="515"/>
      <c r="AR156" s="519"/>
      <c r="AS156" s="515"/>
      <c r="AT156" s="515"/>
      <c r="AU156" s="515"/>
      <c r="AV156" s="515"/>
      <c r="AW156" s="515"/>
      <c r="AX156" s="515"/>
      <c r="AY156" s="515"/>
      <c r="AZ156" s="515"/>
      <c r="BA156" s="515"/>
      <c r="BB156" s="515"/>
      <c r="BC156" s="643"/>
      <c r="BD156" s="515"/>
      <c r="BE156" s="515"/>
      <c r="BF156" s="515"/>
      <c r="BG156" s="515"/>
      <c r="BH156" s="631"/>
      <c r="BI156" s="515"/>
      <c r="BJ156" s="515"/>
      <c r="BK156" s="515"/>
      <c r="BL156" s="515"/>
      <c r="BM156" s="515"/>
      <c r="BN156" s="515"/>
      <c r="BO156" s="516"/>
    </row>
    <row r="157" spans="1:67" s="517" customFormat="1">
      <c r="A157"/>
      <c r="B157" s="107"/>
      <c r="C157" s="107"/>
      <c r="D157" s="107"/>
      <c r="E157" s="107"/>
      <c r="F157" s="107"/>
      <c r="G157"/>
      <c r="H157"/>
      <c r="I157" s="29"/>
      <c r="J157"/>
      <c r="K157" s="16"/>
      <c r="L157"/>
      <c r="M157" s="108"/>
      <c r="N157" s="102"/>
      <c r="O157" s="28"/>
      <c r="P157" s="103"/>
      <c r="Q157" s="102"/>
      <c r="R157" s="16"/>
      <c r="S157" s="104"/>
      <c r="T157" s="16"/>
      <c r="U157" s="104"/>
      <c r="V157" s="16"/>
      <c r="W157" s="104"/>
      <c r="X157" s="16"/>
      <c r="Y157" s="104"/>
      <c r="Z157" s="16"/>
      <c r="AA157" s="16"/>
      <c r="AB157" s="16"/>
      <c r="AC157" s="16"/>
      <c r="AD157" s="102"/>
      <c r="AE157" s="467"/>
      <c r="AF157" s="106"/>
      <c r="AG157" s="11"/>
      <c r="AH157" s="11"/>
      <c r="AI157" s="143"/>
      <c r="AJ157" s="105"/>
      <c r="AK157" s="519"/>
      <c r="AL157" s="519"/>
      <c r="AM157" s="519"/>
      <c r="AN157" s="519"/>
      <c r="AO157" s="519"/>
      <c r="AP157" s="519"/>
      <c r="AQ157" s="515"/>
      <c r="AR157" s="519"/>
      <c r="AS157" s="515"/>
      <c r="AT157" s="515"/>
      <c r="AU157" s="515"/>
      <c r="AV157" s="515"/>
      <c r="AW157" s="515"/>
      <c r="AX157" s="515"/>
      <c r="AY157" s="515"/>
      <c r="AZ157" s="515"/>
      <c r="BA157" s="515"/>
      <c r="BB157" s="515"/>
      <c r="BC157" s="643"/>
      <c r="BD157" s="515"/>
      <c r="BE157" s="515"/>
      <c r="BF157" s="515"/>
      <c r="BG157" s="515"/>
      <c r="BH157" s="631"/>
      <c r="BI157" s="515"/>
      <c r="BJ157" s="515"/>
      <c r="BK157" s="515"/>
      <c r="BL157" s="515"/>
      <c r="BM157" s="515"/>
      <c r="BN157" s="515"/>
      <c r="BO157" s="516"/>
    </row>
    <row r="158" spans="1:67" s="517" customFormat="1">
      <c r="A158"/>
      <c r="B158" s="107"/>
      <c r="C158" s="107"/>
      <c r="D158" s="107"/>
      <c r="E158" s="107"/>
      <c r="F158" s="107"/>
      <c r="G158"/>
      <c r="H158"/>
      <c r="I158" s="29"/>
      <c r="J158"/>
      <c r="K158" s="16"/>
      <c r="L158"/>
      <c r="M158" s="108"/>
      <c r="N158" s="102"/>
      <c r="O158" s="28"/>
      <c r="P158" s="103"/>
      <c r="Q158" s="102"/>
      <c r="R158" s="16"/>
      <c r="S158" s="104"/>
      <c r="T158" s="16"/>
      <c r="U158" s="104"/>
      <c r="V158" s="16"/>
      <c r="W158" s="104"/>
      <c r="X158" s="16"/>
      <c r="Y158" s="104"/>
      <c r="Z158" s="16"/>
      <c r="AA158" s="16"/>
      <c r="AB158" s="16"/>
      <c r="AC158" s="16"/>
      <c r="AD158" s="102"/>
      <c r="AE158" s="467"/>
      <c r="AF158" s="106"/>
      <c r="AG158" s="11"/>
      <c r="AH158" s="11"/>
      <c r="AI158" s="143"/>
      <c r="AJ158" s="105"/>
      <c r="AK158" s="519"/>
      <c r="AL158" s="519"/>
      <c r="AM158" s="519"/>
      <c r="AN158" s="519"/>
      <c r="AO158" s="519"/>
      <c r="AP158" s="519"/>
      <c r="AQ158" s="515"/>
      <c r="AR158" s="519"/>
      <c r="AS158" s="515"/>
      <c r="AT158" s="515"/>
      <c r="AU158" s="515"/>
      <c r="AV158" s="515"/>
      <c r="AW158" s="515"/>
      <c r="AX158" s="515"/>
      <c r="AY158" s="515"/>
      <c r="AZ158" s="515"/>
      <c r="BA158" s="515"/>
      <c r="BB158" s="515"/>
      <c r="BC158" s="643"/>
      <c r="BD158" s="515"/>
      <c r="BE158" s="515"/>
      <c r="BF158" s="515"/>
      <c r="BG158" s="515"/>
      <c r="BH158" s="631"/>
      <c r="BI158" s="515"/>
      <c r="BJ158" s="515"/>
      <c r="BK158" s="515"/>
      <c r="BL158" s="515"/>
      <c r="BM158" s="515"/>
      <c r="BN158" s="515"/>
      <c r="BO158" s="516"/>
    </row>
    <row r="159" spans="1:67" s="517" customFormat="1">
      <c r="A159"/>
      <c r="B159" s="107"/>
      <c r="C159" s="107"/>
      <c r="D159" s="107"/>
      <c r="E159" s="107"/>
      <c r="F159" s="107"/>
      <c r="G159"/>
      <c r="H159"/>
      <c r="I159" s="29"/>
      <c r="J159"/>
      <c r="K159" s="16"/>
      <c r="L159"/>
      <c r="M159" s="108"/>
      <c r="N159" s="102"/>
      <c r="O159" s="28"/>
      <c r="P159" s="103"/>
      <c r="Q159" s="102"/>
      <c r="R159" s="16"/>
      <c r="S159" s="104"/>
      <c r="T159" s="16"/>
      <c r="U159" s="104"/>
      <c r="V159" s="16"/>
      <c r="W159" s="104"/>
      <c r="X159" s="16"/>
      <c r="Y159" s="104"/>
      <c r="Z159" s="16"/>
      <c r="AA159" s="16"/>
      <c r="AB159" s="16"/>
      <c r="AC159" s="16"/>
      <c r="AD159" s="102"/>
      <c r="AE159" s="467"/>
      <c r="AF159" s="106"/>
      <c r="AG159" s="11"/>
      <c r="AH159" s="11"/>
      <c r="AI159" s="143"/>
      <c r="AJ159" s="105"/>
      <c r="AK159" s="519"/>
      <c r="AL159" s="519"/>
      <c r="AM159" s="519"/>
      <c r="AN159" s="519"/>
      <c r="AO159" s="519"/>
      <c r="AP159" s="519"/>
      <c r="AQ159" s="515"/>
      <c r="AR159" s="519"/>
      <c r="AS159" s="515"/>
      <c r="AT159" s="515"/>
      <c r="AU159" s="515"/>
      <c r="AV159" s="515"/>
      <c r="AW159" s="515"/>
      <c r="AX159" s="515"/>
      <c r="AY159" s="515"/>
      <c r="AZ159" s="515"/>
      <c r="BA159" s="515"/>
      <c r="BB159" s="515"/>
      <c r="BC159" s="643"/>
      <c r="BD159" s="515"/>
      <c r="BE159" s="515"/>
      <c r="BF159" s="515"/>
      <c r="BG159" s="515"/>
      <c r="BH159" s="631"/>
      <c r="BI159" s="515"/>
      <c r="BJ159" s="515"/>
      <c r="BK159" s="515"/>
      <c r="BL159" s="515"/>
      <c r="BM159" s="515"/>
      <c r="BN159" s="515"/>
      <c r="BO159" s="516"/>
    </row>
    <row r="160" spans="1:67" s="517" customFormat="1">
      <c r="A160"/>
      <c r="B160" s="107"/>
      <c r="C160" s="107"/>
      <c r="D160" s="107"/>
      <c r="E160" s="107"/>
      <c r="F160" s="107"/>
      <c r="G160"/>
      <c r="H160"/>
      <c r="I160" s="29"/>
      <c r="J160"/>
      <c r="K160" s="16"/>
      <c r="L160"/>
      <c r="M160" s="108"/>
      <c r="N160" s="102"/>
      <c r="O160" s="28"/>
      <c r="P160" s="103"/>
      <c r="Q160" s="102"/>
      <c r="R160" s="16"/>
      <c r="S160" s="104"/>
      <c r="T160" s="16"/>
      <c r="U160" s="104"/>
      <c r="V160" s="16"/>
      <c r="W160" s="104"/>
      <c r="X160" s="16"/>
      <c r="Y160" s="104"/>
      <c r="Z160" s="16"/>
      <c r="AA160" s="16"/>
      <c r="AB160" s="16"/>
      <c r="AC160" s="16"/>
      <c r="AD160" s="102"/>
      <c r="AE160" s="467"/>
      <c r="AF160" s="106"/>
      <c r="AG160" s="11"/>
      <c r="AH160" s="11"/>
      <c r="AI160" s="143"/>
      <c r="AJ160" s="105"/>
      <c r="AK160" s="519"/>
      <c r="AL160" s="519"/>
      <c r="AM160" s="519"/>
      <c r="AN160" s="519"/>
      <c r="AO160" s="519"/>
      <c r="AP160" s="519"/>
      <c r="AQ160" s="515"/>
      <c r="AR160" s="519"/>
      <c r="AS160" s="515"/>
      <c r="AT160" s="515"/>
      <c r="AU160" s="515"/>
      <c r="AV160" s="515"/>
      <c r="AW160" s="515"/>
      <c r="AX160" s="515"/>
      <c r="AY160" s="515"/>
      <c r="AZ160" s="515"/>
      <c r="BA160" s="515"/>
      <c r="BB160" s="515"/>
      <c r="BC160" s="643"/>
      <c r="BD160" s="515"/>
      <c r="BE160" s="515"/>
      <c r="BF160" s="515"/>
      <c r="BG160" s="515"/>
      <c r="BH160" s="631"/>
      <c r="BI160" s="515"/>
      <c r="BJ160" s="515"/>
      <c r="BK160" s="515"/>
      <c r="BL160" s="515"/>
      <c r="BM160" s="515"/>
      <c r="BN160" s="515"/>
      <c r="BO160" s="516"/>
    </row>
    <row r="161" spans="1:67" s="517" customFormat="1">
      <c r="A161"/>
      <c r="B161" s="107"/>
      <c r="C161" s="107"/>
      <c r="D161" s="107"/>
      <c r="E161" s="107"/>
      <c r="F161" s="107"/>
      <c r="G161"/>
      <c r="H161"/>
      <c r="I161" s="29"/>
      <c r="J161"/>
      <c r="K161" s="16"/>
      <c r="L161"/>
      <c r="M161" s="108"/>
      <c r="N161" s="102"/>
      <c r="O161" s="28"/>
      <c r="P161" s="103"/>
      <c r="Q161" s="102"/>
      <c r="R161" s="16"/>
      <c r="S161" s="104"/>
      <c r="T161" s="16"/>
      <c r="U161" s="104"/>
      <c r="V161" s="16"/>
      <c r="W161" s="104"/>
      <c r="X161" s="16"/>
      <c r="Y161" s="104"/>
      <c r="Z161" s="16"/>
      <c r="AA161" s="16"/>
      <c r="AB161" s="16"/>
      <c r="AC161" s="16"/>
      <c r="AD161" s="102"/>
      <c r="AE161" s="467"/>
      <c r="AF161" s="106"/>
      <c r="AG161" s="11"/>
      <c r="AH161" s="11"/>
      <c r="AI161" s="143"/>
      <c r="AJ161" s="105"/>
      <c r="AK161" s="519"/>
      <c r="AL161" s="519"/>
      <c r="AM161" s="519"/>
      <c r="AN161" s="519"/>
      <c r="AO161" s="519"/>
      <c r="AP161" s="519"/>
      <c r="AQ161" s="515"/>
      <c r="AR161" s="519"/>
      <c r="AS161" s="515"/>
      <c r="AT161" s="515"/>
      <c r="AU161" s="515"/>
      <c r="AV161" s="515"/>
      <c r="AW161" s="515"/>
      <c r="AX161" s="515"/>
      <c r="AY161" s="515"/>
      <c r="AZ161" s="515"/>
      <c r="BA161" s="515"/>
      <c r="BB161" s="515"/>
      <c r="BC161" s="643"/>
      <c r="BD161" s="515"/>
      <c r="BE161" s="515"/>
      <c r="BF161" s="515"/>
      <c r="BG161" s="515"/>
      <c r="BH161" s="631"/>
      <c r="BI161" s="515"/>
      <c r="BJ161" s="515"/>
      <c r="BK161" s="515"/>
      <c r="BL161" s="515"/>
      <c r="BM161" s="515"/>
      <c r="BN161" s="515"/>
      <c r="BO161" s="516"/>
    </row>
    <row r="162" spans="1:67" s="517" customFormat="1">
      <c r="A162"/>
      <c r="B162" s="107"/>
      <c r="C162" s="107"/>
      <c r="D162" s="107"/>
      <c r="E162" s="107"/>
      <c r="F162" s="107"/>
      <c r="G162"/>
      <c r="H162"/>
      <c r="I162" s="29"/>
      <c r="J162"/>
      <c r="K162" s="16"/>
      <c r="L162"/>
      <c r="M162" s="108"/>
      <c r="N162" s="102"/>
      <c r="O162" s="28"/>
      <c r="P162" s="103"/>
      <c r="Q162" s="102"/>
      <c r="R162" s="16"/>
      <c r="S162" s="104"/>
      <c r="T162" s="16"/>
      <c r="U162" s="104"/>
      <c r="V162" s="16"/>
      <c r="W162" s="104"/>
      <c r="X162" s="16"/>
      <c r="Y162" s="104"/>
      <c r="Z162" s="16"/>
      <c r="AA162" s="16"/>
      <c r="AB162" s="16"/>
      <c r="AC162" s="16"/>
      <c r="AD162" s="102"/>
      <c r="AE162" s="467"/>
      <c r="AF162" s="106"/>
      <c r="AG162" s="11"/>
      <c r="AH162" s="11"/>
      <c r="AI162" s="143"/>
      <c r="AJ162" s="105"/>
      <c r="AK162" s="519"/>
      <c r="AL162" s="519"/>
      <c r="AM162" s="519"/>
      <c r="AN162" s="519"/>
      <c r="AO162" s="519"/>
      <c r="AP162" s="519"/>
      <c r="AQ162" s="515"/>
      <c r="AR162" s="519"/>
      <c r="AS162" s="515"/>
      <c r="AT162" s="515"/>
      <c r="AU162" s="515"/>
      <c r="AV162" s="515"/>
      <c r="AW162" s="515"/>
      <c r="AX162" s="515"/>
      <c r="AY162" s="515"/>
      <c r="AZ162" s="515"/>
      <c r="BA162" s="515"/>
      <c r="BB162" s="515"/>
      <c r="BC162" s="643"/>
      <c r="BD162" s="515"/>
      <c r="BE162" s="515"/>
      <c r="BF162" s="515"/>
      <c r="BG162" s="515"/>
      <c r="BH162" s="631"/>
      <c r="BI162" s="515"/>
      <c r="BJ162" s="515"/>
      <c r="BK162" s="515"/>
      <c r="BL162" s="515"/>
      <c r="BM162" s="515"/>
      <c r="BN162" s="515"/>
      <c r="BO162" s="516"/>
    </row>
    <row r="163" spans="1:67" s="517" customFormat="1">
      <c r="A163"/>
      <c r="B163" s="107"/>
      <c r="C163" s="107"/>
      <c r="D163" s="107"/>
      <c r="E163" s="107"/>
      <c r="F163" s="107"/>
      <c r="G163"/>
      <c r="H163"/>
      <c r="I163" s="29"/>
      <c r="J163"/>
      <c r="K163" s="16"/>
      <c r="L163"/>
      <c r="M163" s="108"/>
      <c r="N163" s="102"/>
      <c r="O163" s="28"/>
      <c r="P163" s="103"/>
      <c r="Q163" s="102"/>
      <c r="R163" s="16"/>
      <c r="S163" s="104"/>
      <c r="T163" s="16"/>
      <c r="U163" s="104"/>
      <c r="V163" s="16"/>
      <c r="W163" s="104"/>
      <c r="X163" s="16"/>
      <c r="Y163" s="104"/>
      <c r="Z163" s="16"/>
      <c r="AA163" s="16"/>
      <c r="AB163" s="16"/>
      <c r="AC163" s="16"/>
      <c r="AD163" s="102"/>
      <c r="AE163" s="467"/>
      <c r="AF163" s="106"/>
      <c r="AG163" s="11"/>
      <c r="AH163" s="11"/>
      <c r="AI163" s="143"/>
      <c r="AJ163" s="105"/>
      <c r="AK163" s="519"/>
      <c r="AL163" s="519"/>
      <c r="AM163" s="519"/>
      <c r="AN163" s="519"/>
      <c r="AO163" s="519"/>
      <c r="AP163" s="519"/>
      <c r="AQ163" s="515"/>
      <c r="AR163" s="519"/>
      <c r="AS163" s="515"/>
      <c r="AT163" s="515"/>
      <c r="AU163" s="515"/>
      <c r="AV163" s="515"/>
      <c r="AW163" s="515"/>
      <c r="AX163" s="515"/>
      <c r="AY163" s="515"/>
      <c r="AZ163" s="515"/>
      <c r="BA163" s="515"/>
      <c r="BB163" s="515"/>
      <c r="BC163" s="643"/>
      <c r="BD163" s="515"/>
      <c r="BE163" s="515"/>
      <c r="BF163" s="515"/>
      <c r="BG163" s="515"/>
      <c r="BH163" s="631"/>
      <c r="BI163" s="515"/>
      <c r="BJ163" s="515"/>
      <c r="BK163" s="515"/>
      <c r="BL163" s="515"/>
      <c r="BM163" s="515"/>
      <c r="BN163" s="515"/>
      <c r="BO163" s="516"/>
    </row>
    <row r="164" spans="1:67" s="517" customFormat="1">
      <c r="A164"/>
      <c r="B164" s="107"/>
      <c r="C164" s="107"/>
      <c r="D164" s="107"/>
      <c r="E164" s="107"/>
      <c r="F164" s="107"/>
      <c r="G164"/>
      <c r="H164"/>
      <c r="I164" s="29"/>
      <c r="J164"/>
      <c r="K164" s="16"/>
      <c r="L164"/>
      <c r="M164" s="108"/>
      <c r="N164" s="102"/>
      <c r="O164" s="28"/>
      <c r="P164" s="103"/>
      <c r="Q164" s="102"/>
      <c r="R164" s="16"/>
      <c r="S164" s="104"/>
      <c r="T164" s="16"/>
      <c r="U164" s="104"/>
      <c r="V164" s="16"/>
      <c r="W164" s="104"/>
      <c r="X164" s="16"/>
      <c r="Y164" s="104"/>
      <c r="Z164" s="16"/>
      <c r="AA164" s="16"/>
      <c r="AB164" s="16"/>
      <c r="AC164" s="16"/>
      <c r="AD164" s="102"/>
      <c r="AE164" s="467"/>
      <c r="AF164" s="106"/>
      <c r="AG164" s="11"/>
      <c r="AH164" s="11"/>
      <c r="AI164" s="143"/>
      <c r="AJ164" s="105"/>
      <c r="AK164" s="519"/>
      <c r="AL164" s="519"/>
      <c r="AM164" s="519"/>
      <c r="AN164" s="519"/>
      <c r="AO164" s="519"/>
      <c r="AP164" s="519"/>
      <c r="AQ164" s="515"/>
      <c r="AR164" s="519"/>
      <c r="AS164" s="515"/>
      <c r="AT164" s="515"/>
      <c r="AU164" s="515"/>
      <c r="AV164" s="515"/>
      <c r="AW164" s="515"/>
      <c r="AX164" s="515"/>
      <c r="AY164" s="515"/>
      <c r="AZ164" s="515"/>
      <c r="BA164" s="515"/>
      <c r="BB164" s="515"/>
      <c r="BC164" s="643"/>
      <c r="BD164" s="515"/>
      <c r="BE164" s="515"/>
      <c r="BF164" s="515"/>
      <c r="BG164" s="515"/>
      <c r="BH164" s="631"/>
      <c r="BI164" s="515"/>
      <c r="BJ164" s="515"/>
      <c r="BK164" s="515"/>
      <c r="BL164" s="515"/>
      <c r="BM164" s="515"/>
      <c r="BN164" s="515"/>
      <c r="BO164" s="516"/>
    </row>
    <row r="165" spans="1:67" s="517" customFormat="1">
      <c r="A165"/>
      <c r="B165" s="107"/>
      <c r="C165" s="107"/>
      <c r="D165" s="107"/>
      <c r="E165" s="107"/>
      <c r="F165" s="107"/>
      <c r="G165"/>
      <c r="H165"/>
      <c r="I165" s="29"/>
      <c r="J165"/>
      <c r="K165" s="16"/>
      <c r="L165"/>
      <c r="M165" s="108"/>
      <c r="N165" s="102"/>
      <c r="O165" s="28"/>
      <c r="P165" s="103"/>
      <c r="Q165" s="102"/>
      <c r="R165" s="16"/>
      <c r="S165" s="104"/>
      <c r="T165" s="16"/>
      <c r="U165" s="104"/>
      <c r="V165" s="16"/>
      <c r="W165" s="104"/>
      <c r="X165" s="16"/>
      <c r="Y165" s="104"/>
      <c r="Z165" s="16"/>
      <c r="AA165" s="16"/>
      <c r="AB165" s="16"/>
      <c r="AC165" s="16"/>
      <c r="AD165" s="102"/>
      <c r="AE165" s="467"/>
      <c r="AF165" s="106"/>
      <c r="AG165" s="11"/>
      <c r="AH165" s="11"/>
      <c r="AI165" s="143"/>
      <c r="AJ165" s="105"/>
      <c r="AK165" s="519"/>
      <c r="AL165" s="519"/>
      <c r="AM165" s="519"/>
      <c r="AN165" s="519"/>
      <c r="AO165" s="519"/>
      <c r="AP165" s="519"/>
      <c r="AQ165" s="515"/>
      <c r="AR165" s="519"/>
      <c r="AS165" s="515"/>
      <c r="AT165" s="515"/>
      <c r="AU165" s="515"/>
      <c r="AV165" s="515"/>
      <c r="AW165" s="515"/>
      <c r="AX165" s="515"/>
      <c r="AY165" s="515"/>
      <c r="AZ165" s="515"/>
      <c r="BA165" s="515"/>
      <c r="BB165" s="515"/>
      <c r="BC165" s="643"/>
      <c r="BD165" s="515"/>
      <c r="BE165" s="515"/>
      <c r="BF165" s="515"/>
      <c r="BG165" s="515"/>
      <c r="BH165" s="631"/>
      <c r="BI165" s="515"/>
      <c r="BJ165" s="515"/>
      <c r="BK165" s="515"/>
      <c r="BL165" s="515"/>
      <c r="BM165" s="515"/>
      <c r="BN165" s="515"/>
      <c r="BO165" s="516"/>
    </row>
    <row r="166" spans="1:67" s="517" customFormat="1">
      <c r="A166"/>
      <c r="B166" s="107"/>
      <c r="C166" s="107"/>
      <c r="D166" s="107"/>
      <c r="E166" s="107"/>
      <c r="F166" s="107"/>
      <c r="G166"/>
      <c r="H166"/>
      <c r="I166" s="29"/>
      <c r="J166"/>
      <c r="K166" s="16"/>
      <c r="L166"/>
      <c r="M166" s="108"/>
      <c r="N166" s="102"/>
      <c r="O166" s="28"/>
      <c r="P166" s="103"/>
      <c r="Q166" s="102"/>
      <c r="R166" s="16"/>
      <c r="S166" s="104"/>
      <c r="T166" s="16"/>
      <c r="U166" s="104"/>
      <c r="V166" s="16"/>
      <c r="W166" s="104"/>
      <c r="X166" s="16"/>
      <c r="Y166" s="104"/>
      <c r="Z166" s="16"/>
      <c r="AA166" s="16"/>
      <c r="AB166" s="16"/>
      <c r="AC166" s="16"/>
      <c r="AD166" s="102"/>
      <c r="AE166" s="467"/>
      <c r="AF166" s="106"/>
      <c r="AG166" s="11"/>
      <c r="AH166" s="11"/>
      <c r="AI166" s="143"/>
      <c r="AJ166" s="105"/>
      <c r="AK166" s="519"/>
      <c r="AL166" s="519"/>
      <c r="AM166" s="519"/>
      <c r="AN166" s="519"/>
      <c r="AO166" s="519"/>
      <c r="AP166" s="519"/>
      <c r="AQ166" s="515"/>
      <c r="AR166" s="519"/>
      <c r="AS166" s="515"/>
      <c r="AT166" s="515"/>
      <c r="AU166" s="515"/>
      <c r="AV166" s="515"/>
      <c r="AW166" s="515"/>
      <c r="AX166" s="515"/>
      <c r="AY166" s="515"/>
      <c r="AZ166" s="515"/>
      <c r="BA166" s="515"/>
      <c r="BB166" s="515"/>
      <c r="BC166" s="643"/>
      <c r="BD166" s="515"/>
      <c r="BE166" s="515"/>
      <c r="BF166" s="515"/>
      <c r="BG166" s="515"/>
      <c r="BH166" s="631"/>
      <c r="BI166" s="515"/>
      <c r="BJ166" s="515"/>
      <c r="BK166" s="515"/>
      <c r="BL166" s="515"/>
      <c r="BM166" s="515"/>
      <c r="BN166" s="515"/>
      <c r="BO166" s="516"/>
    </row>
    <row r="167" spans="1:67" s="517" customFormat="1">
      <c r="A167"/>
      <c r="B167" s="107"/>
      <c r="C167" s="107"/>
      <c r="D167" s="107"/>
      <c r="E167" s="107"/>
      <c r="F167" s="107"/>
      <c r="G167"/>
      <c r="H167"/>
      <c r="I167" s="29"/>
      <c r="J167"/>
      <c r="K167" s="16"/>
      <c r="L167"/>
      <c r="M167" s="108"/>
      <c r="N167" s="102"/>
      <c r="O167" s="28"/>
      <c r="P167" s="103"/>
      <c r="Q167" s="102"/>
      <c r="R167" s="16"/>
      <c r="S167" s="104"/>
      <c r="T167" s="16"/>
      <c r="U167" s="104"/>
      <c r="V167" s="16"/>
      <c r="W167" s="104"/>
      <c r="X167" s="16"/>
      <c r="Y167" s="104"/>
      <c r="Z167" s="16"/>
      <c r="AA167" s="16"/>
      <c r="AB167" s="16"/>
      <c r="AC167" s="16"/>
      <c r="AD167" s="102"/>
      <c r="AE167" s="467"/>
      <c r="AF167" s="106"/>
      <c r="AG167" s="11"/>
      <c r="AH167" s="11"/>
      <c r="AI167" s="143"/>
      <c r="AJ167" s="105"/>
      <c r="AK167" s="519"/>
      <c r="AL167" s="519"/>
      <c r="AM167" s="519"/>
      <c r="AN167" s="519"/>
      <c r="AO167" s="519"/>
      <c r="AP167" s="519"/>
      <c r="AQ167" s="515"/>
      <c r="AR167" s="519"/>
      <c r="AS167" s="515"/>
      <c r="AT167" s="515"/>
      <c r="AU167" s="515"/>
      <c r="AV167" s="515"/>
      <c r="AW167" s="515"/>
      <c r="AX167" s="515"/>
      <c r="AY167" s="515"/>
      <c r="AZ167" s="515"/>
      <c r="BA167" s="515"/>
      <c r="BB167" s="515"/>
      <c r="BC167" s="643"/>
      <c r="BD167" s="515"/>
      <c r="BE167" s="515"/>
      <c r="BF167" s="515"/>
      <c r="BG167" s="515"/>
      <c r="BH167" s="631"/>
      <c r="BI167" s="515"/>
      <c r="BJ167" s="515"/>
      <c r="BK167" s="515"/>
      <c r="BL167" s="515"/>
      <c r="BM167" s="515"/>
      <c r="BN167" s="515"/>
      <c r="BO167" s="516"/>
    </row>
    <row r="168" spans="1:67" s="517" customFormat="1">
      <c r="A168"/>
      <c r="B168" s="107"/>
      <c r="C168" s="107"/>
      <c r="D168" s="107"/>
      <c r="E168" s="107"/>
      <c r="F168" s="107"/>
      <c r="G168"/>
      <c r="H168"/>
      <c r="I168" s="29"/>
      <c r="J168"/>
      <c r="K168" s="16"/>
      <c r="L168"/>
      <c r="M168" s="108"/>
      <c r="N168" s="102"/>
      <c r="O168" s="28"/>
      <c r="P168" s="103"/>
      <c r="Q168" s="102"/>
      <c r="R168" s="16"/>
      <c r="S168" s="104"/>
      <c r="T168" s="16"/>
      <c r="U168" s="104"/>
      <c r="V168" s="16"/>
      <c r="W168" s="104"/>
      <c r="X168" s="16"/>
      <c r="Y168" s="104"/>
      <c r="Z168" s="16"/>
      <c r="AA168" s="16"/>
      <c r="AB168" s="16"/>
      <c r="AC168" s="16"/>
      <c r="AD168" s="102"/>
      <c r="AE168" s="467"/>
      <c r="AF168" s="106"/>
      <c r="AG168" s="11"/>
      <c r="AH168" s="11"/>
      <c r="AI168" s="143"/>
      <c r="AJ168" s="105"/>
      <c r="AK168" s="519"/>
      <c r="AL168" s="519"/>
      <c r="AM168" s="519"/>
      <c r="AN168" s="519"/>
      <c r="AO168" s="519"/>
      <c r="AP168" s="519"/>
      <c r="AQ168" s="515"/>
      <c r="AR168" s="519"/>
      <c r="AS168" s="515"/>
      <c r="AT168" s="515"/>
      <c r="AU168" s="515"/>
      <c r="AV168" s="515"/>
      <c r="AW168" s="515"/>
      <c r="AX168" s="515"/>
      <c r="AY168" s="515"/>
      <c r="AZ168" s="515"/>
      <c r="BA168" s="515"/>
      <c r="BB168" s="515"/>
      <c r="BC168" s="643"/>
      <c r="BD168" s="515"/>
      <c r="BE168" s="515"/>
      <c r="BF168" s="515"/>
      <c r="BG168" s="515"/>
      <c r="BH168" s="631"/>
      <c r="BI168" s="515"/>
      <c r="BJ168" s="515"/>
      <c r="BK168" s="515"/>
      <c r="BL168" s="515"/>
      <c r="BM168" s="515"/>
      <c r="BN168" s="515"/>
      <c r="BO168" s="516"/>
    </row>
    <row r="169" spans="1:67" s="517" customFormat="1">
      <c r="A169"/>
      <c r="B169" s="107"/>
      <c r="C169" s="107"/>
      <c r="D169" s="107"/>
      <c r="E169" s="107"/>
      <c r="F169" s="107"/>
      <c r="G169"/>
      <c r="H169"/>
      <c r="I169" s="29"/>
      <c r="J169"/>
      <c r="K169" s="16"/>
      <c r="L169"/>
      <c r="M169" s="108"/>
      <c r="N169" s="102"/>
      <c r="O169" s="28"/>
      <c r="P169" s="103"/>
      <c r="Q169" s="102"/>
      <c r="R169" s="16"/>
      <c r="S169" s="104"/>
      <c r="T169" s="16"/>
      <c r="U169" s="104"/>
      <c r="V169" s="16"/>
      <c r="W169" s="104"/>
      <c r="X169" s="16"/>
      <c r="Y169" s="104"/>
      <c r="Z169" s="16"/>
      <c r="AA169" s="16"/>
      <c r="AB169" s="16"/>
      <c r="AC169" s="16"/>
      <c r="AD169" s="102"/>
      <c r="AE169" s="467"/>
      <c r="AF169" s="106"/>
      <c r="AG169" s="11"/>
      <c r="AH169" s="11"/>
      <c r="AI169" s="143"/>
      <c r="AJ169" s="105"/>
      <c r="AK169" s="519"/>
      <c r="AL169" s="519"/>
      <c r="AM169" s="519"/>
      <c r="AN169" s="519"/>
      <c r="AO169" s="519"/>
      <c r="AP169" s="519"/>
      <c r="AQ169" s="515"/>
      <c r="AR169" s="519"/>
      <c r="AS169" s="515"/>
      <c r="AT169" s="515"/>
      <c r="AU169" s="515"/>
      <c r="AV169" s="515"/>
      <c r="AW169" s="515"/>
      <c r="AX169" s="515"/>
      <c r="AY169" s="515"/>
      <c r="AZ169" s="515"/>
      <c r="BA169" s="515"/>
      <c r="BB169" s="515"/>
      <c r="BC169" s="643"/>
      <c r="BD169" s="515"/>
      <c r="BE169" s="515"/>
      <c r="BF169" s="515"/>
      <c r="BG169" s="515"/>
      <c r="BH169" s="631"/>
      <c r="BI169" s="515"/>
      <c r="BJ169" s="515"/>
      <c r="BK169" s="515"/>
      <c r="BL169" s="515"/>
      <c r="BM169" s="515"/>
      <c r="BN169" s="515"/>
      <c r="BO169" s="516"/>
    </row>
    <row r="170" spans="1:67" s="517" customFormat="1">
      <c r="A170"/>
      <c r="B170" s="107"/>
      <c r="C170" s="107"/>
      <c r="D170" s="107"/>
      <c r="E170" s="107"/>
      <c r="F170" s="107"/>
      <c r="G170"/>
      <c r="H170"/>
      <c r="I170" s="29"/>
      <c r="J170"/>
      <c r="K170" s="16"/>
      <c r="L170"/>
      <c r="M170" s="108"/>
      <c r="N170" s="102"/>
      <c r="O170" s="28"/>
      <c r="P170" s="103"/>
      <c r="Q170" s="102"/>
      <c r="R170" s="16"/>
      <c r="S170" s="104"/>
      <c r="T170" s="16"/>
      <c r="U170" s="104"/>
      <c r="V170" s="16"/>
      <c r="W170" s="104"/>
      <c r="X170" s="16"/>
      <c r="Y170" s="104"/>
      <c r="Z170" s="16"/>
      <c r="AA170" s="16"/>
      <c r="AB170" s="16"/>
      <c r="AC170" s="16"/>
      <c r="AD170" s="102"/>
      <c r="AE170" s="467"/>
      <c r="AF170" s="106"/>
      <c r="AG170" s="11"/>
      <c r="AH170" s="11"/>
      <c r="AI170" s="143"/>
      <c r="AJ170" s="105"/>
      <c r="AK170" s="519"/>
      <c r="AL170" s="519"/>
      <c r="AM170" s="519"/>
      <c r="AN170" s="519"/>
      <c r="AO170" s="519"/>
      <c r="AP170" s="519"/>
      <c r="AQ170" s="515"/>
      <c r="AR170" s="519"/>
      <c r="AS170" s="515"/>
      <c r="AT170" s="515"/>
      <c r="AU170" s="515"/>
      <c r="AV170" s="515"/>
      <c r="AW170" s="515"/>
      <c r="AX170" s="515"/>
      <c r="AY170" s="515"/>
      <c r="AZ170" s="515"/>
      <c r="BA170" s="515"/>
      <c r="BB170" s="515"/>
      <c r="BC170" s="643"/>
      <c r="BD170" s="515"/>
      <c r="BE170" s="515"/>
      <c r="BF170" s="515"/>
      <c r="BG170" s="515"/>
      <c r="BH170" s="631"/>
      <c r="BI170" s="515"/>
      <c r="BJ170" s="515"/>
      <c r="BK170" s="515"/>
      <c r="BL170" s="515"/>
      <c r="BM170" s="515"/>
      <c r="BN170" s="515"/>
      <c r="BO170" s="516"/>
    </row>
    <row r="171" spans="1:67" s="517" customFormat="1">
      <c r="A171"/>
      <c r="B171" s="107"/>
      <c r="C171" s="107"/>
      <c r="D171" s="107"/>
      <c r="E171" s="107"/>
      <c r="F171" s="107"/>
      <c r="G171"/>
      <c r="H171"/>
      <c r="I171" s="29"/>
      <c r="J171"/>
      <c r="K171" s="16"/>
      <c r="L171"/>
      <c r="M171" s="108"/>
      <c r="N171" s="102"/>
      <c r="O171" s="28"/>
      <c r="P171" s="103"/>
      <c r="Q171" s="102"/>
      <c r="R171" s="16"/>
      <c r="S171" s="104"/>
      <c r="T171" s="16"/>
      <c r="U171" s="104"/>
      <c r="V171" s="16"/>
      <c r="W171" s="104"/>
      <c r="X171" s="16"/>
      <c r="Y171" s="104"/>
      <c r="Z171" s="16"/>
      <c r="AA171" s="16"/>
      <c r="AB171" s="16"/>
      <c r="AC171" s="16"/>
      <c r="AD171" s="102"/>
      <c r="AE171" s="467"/>
      <c r="AF171" s="106"/>
      <c r="AG171" s="11"/>
      <c r="AH171" s="11"/>
      <c r="AI171" s="143"/>
      <c r="AJ171" s="105"/>
      <c r="AK171" s="519"/>
      <c r="AL171" s="519"/>
      <c r="AM171" s="519"/>
      <c r="AN171" s="519"/>
      <c r="AO171" s="519"/>
      <c r="AP171" s="519"/>
      <c r="AQ171" s="515"/>
      <c r="AR171" s="519"/>
      <c r="AS171" s="515"/>
      <c r="AT171" s="515"/>
      <c r="AU171" s="515"/>
      <c r="AV171" s="515"/>
      <c r="AW171" s="515"/>
      <c r="AX171" s="515"/>
      <c r="AY171" s="515"/>
      <c r="AZ171" s="515"/>
      <c r="BA171" s="515"/>
      <c r="BB171" s="515"/>
      <c r="BC171" s="643"/>
      <c r="BD171" s="515"/>
      <c r="BE171" s="515"/>
      <c r="BF171" s="515"/>
      <c r="BG171" s="515"/>
      <c r="BH171" s="631"/>
      <c r="BI171" s="515"/>
      <c r="BJ171" s="515"/>
      <c r="BK171" s="515"/>
      <c r="BL171" s="515"/>
      <c r="BM171" s="515"/>
      <c r="BN171" s="515"/>
      <c r="BO171" s="516"/>
    </row>
    <row r="172" spans="1:67" s="517" customFormat="1">
      <c r="A172"/>
      <c r="B172" s="107"/>
      <c r="C172" s="107"/>
      <c r="D172" s="107"/>
      <c r="E172" s="107"/>
      <c r="F172" s="107"/>
      <c r="G172"/>
      <c r="H172"/>
      <c r="I172" s="29"/>
      <c r="J172"/>
      <c r="K172" s="16"/>
      <c r="L172"/>
      <c r="M172" s="108"/>
      <c r="N172" s="102"/>
      <c r="O172" s="28"/>
      <c r="P172" s="103"/>
      <c r="Q172" s="102"/>
      <c r="R172" s="16"/>
      <c r="S172" s="104"/>
      <c r="T172" s="16"/>
      <c r="U172" s="104"/>
      <c r="V172" s="16"/>
      <c r="W172" s="104"/>
      <c r="X172" s="16"/>
      <c r="Y172" s="104"/>
      <c r="Z172" s="16"/>
      <c r="AA172" s="16"/>
      <c r="AB172" s="16"/>
      <c r="AC172" s="16"/>
      <c r="AD172" s="102"/>
      <c r="AE172" s="467"/>
      <c r="AF172" s="106"/>
      <c r="AG172" s="11"/>
      <c r="AH172" s="11"/>
      <c r="AI172" s="143"/>
      <c r="AJ172" s="105"/>
      <c r="AK172" s="519"/>
      <c r="AL172" s="519"/>
      <c r="AM172" s="519"/>
      <c r="AN172" s="519"/>
      <c r="AO172" s="519"/>
      <c r="AP172" s="519"/>
      <c r="AQ172" s="515"/>
      <c r="AR172" s="519"/>
      <c r="AS172" s="515"/>
      <c r="AT172" s="515"/>
      <c r="AU172" s="515"/>
      <c r="AV172" s="515"/>
      <c r="AW172" s="515"/>
      <c r="AX172" s="515"/>
      <c r="AY172" s="515"/>
      <c r="AZ172" s="515"/>
      <c r="BA172" s="515"/>
      <c r="BB172" s="515"/>
      <c r="BC172" s="643"/>
      <c r="BD172" s="515"/>
      <c r="BE172" s="515"/>
      <c r="BF172" s="515"/>
      <c r="BG172" s="515"/>
      <c r="BH172" s="631"/>
      <c r="BI172" s="515"/>
      <c r="BJ172" s="515"/>
      <c r="BK172" s="515"/>
      <c r="BL172" s="515"/>
      <c r="BM172" s="515"/>
      <c r="BN172" s="515"/>
      <c r="BO172" s="516"/>
    </row>
    <row r="173" spans="1:67" s="517" customFormat="1">
      <c r="A173"/>
      <c r="B173" s="107"/>
      <c r="C173" s="107"/>
      <c r="D173" s="107"/>
      <c r="E173" s="107"/>
      <c r="F173" s="107"/>
      <c r="G173"/>
      <c r="H173"/>
      <c r="I173" s="29"/>
      <c r="J173"/>
      <c r="K173" s="16"/>
      <c r="L173"/>
      <c r="M173" s="108"/>
      <c r="N173" s="102"/>
      <c r="O173" s="28"/>
      <c r="P173" s="103"/>
      <c r="Q173" s="102"/>
      <c r="R173" s="16"/>
      <c r="S173" s="104"/>
      <c r="T173" s="16"/>
      <c r="U173" s="104"/>
      <c r="V173" s="16"/>
      <c r="W173" s="104"/>
      <c r="X173" s="16"/>
      <c r="Y173" s="104"/>
      <c r="Z173" s="16"/>
      <c r="AA173" s="16"/>
      <c r="AB173" s="16"/>
      <c r="AC173" s="16"/>
      <c r="AD173" s="102"/>
      <c r="AE173" s="467"/>
      <c r="AF173" s="106"/>
      <c r="AG173" s="11"/>
      <c r="AH173" s="11"/>
      <c r="AI173" s="143"/>
      <c r="AJ173" s="105"/>
      <c r="AK173" s="519"/>
      <c r="AL173" s="519"/>
      <c r="AM173" s="519"/>
      <c r="AN173" s="519"/>
      <c r="AO173" s="519"/>
      <c r="AP173" s="519"/>
      <c r="AQ173" s="515"/>
      <c r="AR173" s="519"/>
      <c r="AS173" s="515"/>
      <c r="AT173" s="515"/>
      <c r="AU173" s="515"/>
      <c r="AV173" s="515"/>
      <c r="AW173" s="515"/>
      <c r="AX173" s="515"/>
      <c r="AY173" s="515"/>
      <c r="AZ173" s="515"/>
      <c r="BA173" s="515"/>
      <c r="BB173" s="515"/>
      <c r="BC173" s="643"/>
      <c r="BD173" s="515"/>
      <c r="BE173" s="515"/>
      <c r="BF173" s="515"/>
      <c r="BG173" s="515"/>
      <c r="BH173" s="631"/>
      <c r="BI173" s="515"/>
      <c r="BJ173" s="515"/>
      <c r="BK173" s="515"/>
      <c r="BL173" s="515"/>
      <c r="BM173" s="515"/>
      <c r="BN173" s="515"/>
      <c r="BO173" s="516"/>
    </row>
    <row r="174" spans="1:67" s="517" customFormat="1">
      <c r="A174"/>
      <c r="B174" s="107"/>
      <c r="C174" s="107"/>
      <c r="D174" s="107"/>
      <c r="E174" s="107"/>
      <c r="F174" s="107"/>
      <c r="G174"/>
      <c r="H174"/>
      <c r="I174" s="29"/>
      <c r="J174"/>
      <c r="K174" s="16"/>
      <c r="L174"/>
      <c r="M174" s="108"/>
      <c r="N174" s="102"/>
      <c r="O174" s="28"/>
      <c r="P174" s="103"/>
      <c r="Q174" s="102"/>
      <c r="R174" s="16"/>
      <c r="S174" s="104"/>
      <c r="T174" s="16"/>
      <c r="U174" s="104"/>
      <c r="V174" s="16"/>
      <c r="W174" s="104"/>
      <c r="X174" s="16"/>
      <c r="Y174" s="104"/>
      <c r="Z174" s="16"/>
      <c r="AA174" s="16"/>
      <c r="AB174" s="16"/>
      <c r="AC174" s="16"/>
      <c r="AD174" s="102"/>
      <c r="AE174" s="467"/>
      <c r="AF174" s="106"/>
      <c r="AG174" s="11"/>
      <c r="AH174" s="11"/>
      <c r="AI174" s="143"/>
      <c r="AJ174" s="105"/>
      <c r="AK174" s="519"/>
      <c r="AL174" s="519"/>
      <c r="AM174" s="519"/>
      <c r="AN174" s="519"/>
      <c r="AO174" s="519"/>
      <c r="AP174" s="519"/>
      <c r="AQ174" s="515"/>
      <c r="AR174" s="519"/>
      <c r="AS174" s="515"/>
      <c r="AT174" s="515"/>
      <c r="AU174" s="515"/>
      <c r="AV174" s="515"/>
      <c r="AW174" s="515"/>
      <c r="AX174" s="515"/>
      <c r="AY174" s="515"/>
      <c r="AZ174" s="515"/>
      <c r="BA174" s="515"/>
      <c r="BB174" s="515"/>
      <c r="BC174" s="643"/>
      <c r="BD174" s="515"/>
      <c r="BE174" s="515"/>
      <c r="BF174" s="515"/>
      <c r="BG174" s="515"/>
      <c r="BH174" s="631"/>
      <c r="BI174" s="515"/>
      <c r="BJ174" s="515"/>
      <c r="BK174" s="515"/>
      <c r="BL174" s="515"/>
      <c r="BM174" s="515"/>
      <c r="BN174" s="515"/>
      <c r="BO174" s="516"/>
    </row>
    <row r="175" spans="1:67" s="517" customFormat="1">
      <c r="A175"/>
      <c r="B175" s="107"/>
      <c r="C175" s="107"/>
      <c r="D175" s="107"/>
      <c r="E175" s="107"/>
      <c r="F175" s="107"/>
      <c r="G175"/>
      <c r="H175"/>
      <c r="I175" s="29"/>
      <c r="J175"/>
      <c r="K175" s="16"/>
      <c r="L175"/>
      <c r="M175" s="108"/>
      <c r="N175" s="102"/>
      <c r="O175" s="28"/>
      <c r="P175" s="103"/>
      <c r="Q175" s="102"/>
      <c r="R175" s="16"/>
      <c r="S175" s="104"/>
      <c r="T175" s="16"/>
      <c r="U175" s="104"/>
      <c r="V175" s="16"/>
      <c r="W175" s="104"/>
      <c r="X175" s="16"/>
      <c r="Y175" s="104"/>
      <c r="Z175" s="16"/>
      <c r="AA175" s="16"/>
      <c r="AB175" s="16"/>
      <c r="AC175" s="16"/>
      <c r="AD175" s="102"/>
      <c r="AE175" s="467"/>
      <c r="AF175" s="106"/>
      <c r="AG175" s="11"/>
      <c r="AH175" s="11"/>
      <c r="AI175" s="143"/>
      <c r="AJ175" s="105"/>
      <c r="AK175" s="519"/>
      <c r="AL175" s="519"/>
      <c r="AM175" s="519"/>
      <c r="AN175" s="519"/>
      <c r="AO175" s="519"/>
      <c r="AP175" s="519"/>
      <c r="AQ175" s="515"/>
      <c r="AR175" s="519"/>
      <c r="AS175" s="515"/>
      <c r="AT175" s="515"/>
      <c r="AU175" s="515"/>
      <c r="AV175" s="515"/>
      <c r="AW175" s="515"/>
      <c r="AX175" s="515"/>
      <c r="AY175" s="515"/>
      <c r="AZ175" s="515"/>
      <c r="BA175" s="515"/>
      <c r="BB175" s="515"/>
      <c r="BC175" s="643"/>
      <c r="BD175" s="515"/>
      <c r="BE175" s="515"/>
      <c r="BF175" s="515"/>
      <c r="BG175" s="515"/>
      <c r="BH175" s="631"/>
      <c r="BI175" s="515"/>
      <c r="BJ175" s="515"/>
      <c r="BK175" s="515"/>
      <c r="BL175" s="515"/>
      <c r="BM175" s="515"/>
      <c r="BN175" s="515"/>
      <c r="BO175" s="516"/>
    </row>
    <row r="176" spans="1:67" s="517" customFormat="1">
      <c r="A176"/>
      <c r="B176" s="107"/>
      <c r="C176" s="107"/>
      <c r="D176" s="107"/>
      <c r="E176" s="107"/>
      <c r="F176" s="107"/>
      <c r="G176"/>
      <c r="H176"/>
      <c r="I176" s="29"/>
      <c r="J176"/>
      <c r="K176" s="16"/>
      <c r="L176"/>
      <c r="M176" s="108"/>
      <c r="N176" s="102"/>
      <c r="O176" s="28"/>
      <c r="P176" s="103"/>
      <c r="Q176" s="102"/>
      <c r="R176" s="16"/>
      <c r="S176" s="104"/>
      <c r="T176" s="16"/>
      <c r="U176" s="104"/>
      <c r="V176" s="16"/>
      <c r="W176" s="104"/>
      <c r="X176" s="16"/>
      <c r="Y176" s="104"/>
      <c r="Z176" s="16"/>
      <c r="AA176" s="16"/>
      <c r="AB176" s="16"/>
      <c r="AC176" s="16"/>
      <c r="AD176" s="102"/>
      <c r="AE176" s="467"/>
      <c r="AF176" s="106"/>
      <c r="AG176" s="11"/>
      <c r="AH176" s="11"/>
      <c r="AI176" s="143"/>
      <c r="AJ176" s="105"/>
      <c r="AK176" s="519"/>
      <c r="AL176" s="519"/>
      <c r="AM176" s="519"/>
      <c r="AN176" s="519"/>
      <c r="AO176" s="519"/>
      <c r="AP176" s="519"/>
      <c r="AQ176" s="515"/>
      <c r="AR176" s="519"/>
      <c r="AS176" s="515"/>
      <c r="AT176" s="515"/>
      <c r="AU176" s="515"/>
      <c r="AV176" s="515"/>
      <c r="AW176" s="515"/>
      <c r="AX176" s="515"/>
      <c r="AY176" s="515"/>
      <c r="AZ176" s="515"/>
      <c r="BA176" s="515"/>
      <c r="BB176" s="515"/>
      <c r="BC176" s="643"/>
      <c r="BD176" s="515"/>
      <c r="BE176" s="515"/>
      <c r="BF176" s="515"/>
      <c r="BG176" s="515"/>
      <c r="BH176" s="631"/>
      <c r="BI176" s="515"/>
      <c r="BJ176" s="515"/>
      <c r="BK176" s="515"/>
      <c r="BL176" s="515"/>
      <c r="BM176" s="515"/>
      <c r="BN176" s="515"/>
      <c r="BO176" s="516"/>
    </row>
    <row r="177" spans="1:67" s="517" customFormat="1">
      <c r="A177"/>
      <c r="B177" s="107"/>
      <c r="C177" s="107"/>
      <c r="D177" s="107"/>
      <c r="E177" s="107"/>
      <c r="F177" s="107"/>
      <c r="G177"/>
      <c r="H177"/>
      <c r="I177" s="29"/>
      <c r="J177"/>
      <c r="K177" s="16"/>
      <c r="L177"/>
      <c r="M177" s="108"/>
      <c r="N177" s="102"/>
      <c r="O177" s="28"/>
      <c r="P177" s="103"/>
      <c r="Q177" s="102"/>
      <c r="R177" s="16"/>
      <c r="S177" s="104"/>
      <c r="T177" s="16"/>
      <c r="U177" s="104"/>
      <c r="V177" s="16"/>
      <c r="W177" s="104"/>
      <c r="X177" s="16"/>
      <c r="Y177" s="104"/>
      <c r="Z177" s="16"/>
      <c r="AA177" s="16"/>
      <c r="AB177" s="16"/>
      <c r="AC177" s="16"/>
      <c r="AD177" s="102"/>
      <c r="AE177" s="467"/>
      <c r="AF177" s="106"/>
      <c r="AG177" s="11"/>
      <c r="AH177" s="11"/>
      <c r="AI177" s="143"/>
      <c r="AJ177" s="105"/>
      <c r="AK177" s="519"/>
      <c r="AL177" s="519"/>
      <c r="AM177" s="519"/>
      <c r="AN177" s="519"/>
      <c r="AO177" s="519"/>
      <c r="AP177" s="519"/>
      <c r="AQ177" s="515"/>
      <c r="AR177" s="519"/>
      <c r="AS177" s="515"/>
      <c r="AT177" s="515"/>
      <c r="AU177" s="515"/>
      <c r="AV177" s="515"/>
      <c r="AW177" s="515"/>
      <c r="AX177" s="515"/>
      <c r="AY177" s="515"/>
      <c r="AZ177" s="515"/>
      <c r="BA177" s="515"/>
      <c r="BB177" s="515"/>
      <c r="BC177" s="643"/>
      <c r="BD177" s="515"/>
      <c r="BE177" s="515"/>
      <c r="BF177" s="515"/>
      <c r="BG177" s="515"/>
      <c r="BH177" s="631"/>
      <c r="BI177" s="515"/>
      <c r="BJ177" s="515"/>
      <c r="BK177" s="515"/>
      <c r="BL177" s="515"/>
      <c r="BM177" s="515"/>
      <c r="BN177" s="515"/>
      <c r="BO177" s="516"/>
    </row>
    <row r="178" spans="1:67" s="517" customFormat="1">
      <c r="A178"/>
      <c r="B178" s="107"/>
      <c r="C178" s="107"/>
      <c r="D178" s="107"/>
      <c r="E178" s="107"/>
      <c r="F178" s="107"/>
      <c r="G178"/>
      <c r="H178"/>
      <c r="I178" s="29"/>
      <c r="J178"/>
      <c r="K178" s="16"/>
      <c r="L178"/>
      <c r="M178" s="108"/>
      <c r="N178" s="102"/>
      <c r="O178" s="28"/>
      <c r="P178" s="103"/>
      <c r="Q178" s="102"/>
      <c r="R178" s="16"/>
      <c r="S178" s="104"/>
      <c r="T178" s="16"/>
      <c r="U178" s="104"/>
      <c r="V178" s="16"/>
      <c r="W178" s="104"/>
      <c r="X178" s="16"/>
      <c r="Y178" s="104"/>
      <c r="Z178" s="16"/>
      <c r="AA178" s="16"/>
      <c r="AB178" s="16"/>
      <c r="AC178" s="16"/>
      <c r="AD178" s="102"/>
      <c r="AE178" s="467"/>
      <c r="AF178" s="106"/>
      <c r="AG178" s="11"/>
      <c r="AH178" s="11"/>
      <c r="AI178" s="143"/>
      <c r="AJ178" s="105"/>
      <c r="AK178" s="519"/>
      <c r="AL178" s="519"/>
      <c r="AM178" s="519"/>
      <c r="AN178" s="519"/>
      <c r="AO178" s="519"/>
      <c r="AP178" s="519"/>
      <c r="AQ178" s="515"/>
      <c r="AR178" s="519"/>
      <c r="AS178" s="515"/>
      <c r="AT178" s="515"/>
      <c r="AU178" s="515"/>
      <c r="AV178" s="515"/>
      <c r="AW178" s="515"/>
      <c r="AX178" s="515"/>
      <c r="AY178" s="515"/>
      <c r="AZ178" s="515"/>
      <c r="BA178" s="515"/>
      <c r="BB178" s="515"/>
      <c r="BC178" s="643"/>
      <c r="BD178" s="515"/>
      <c r="BE178" s="515"/>
      <c r="BF178" s="515"/>
      <c r="BG178" s="515"/>
      <c r="BH178" s="631"/>
      <c r="BI178" s="515"/>
      <c r="BJ178" s="515"/>
      <c r="BK178" s="515"/>
      <c r="BL178" s="515"/>
      <c r="BM178" s="515"/>
      <c r="BN178" s="515"/>
      <c r="BO178" s="516"/>
    </row>
    <row r="179" spans="1:67" s="517" customFormat="1">
      <c r="A179"/>
      <c r="B179" s="107"/>
      <c r="C179" s="107"/>
      <c r="D179" s="107"/>
      <c r="E179" s="107"/>
      <c r="F179" s="107"/>
      <c r="G179"/>
      <c r="H179"/>
      <c r="I179" s="29"/>
      <c r="J179"/>
      <c r="K179" s="16"/>
      <c r="L179"/>
      <c r="M179" s="108"/>
      <c r="N179" s="102"/>
      <c r="O179" s="28"/>
      <c r="P179" s="103"/>
      <c r="Q179" s="102"/>
      <c r="R179" s="16"/>
      <c r="S179" s="104"/>
      <c r="T179" s="16"/>
      <c r="U179" s="104"/>
      <c r="V179" s="16"/>
      <c r="W179" s="104"/>
      <c r="X179" s="16"/>
      <c r="Y179" s="104"/>
      <c r="Z179" s="16"/>
      <c r="AA179" s="16"/>
      <c r="AB179" s="16"/>
      <c r="AC179" s="16"/>
      <c r="AD179" s="102"/>
      <c r="AE179" s="467"/>
      <c r="AF179" s="106"/>
      <c r="AG179" s="11"/>
      <c r="AH179" s="11"/>
      <c r="AI179" s="143"/>
      <c r="AJ179" s="105"/>
      <c r="AK179" s="519"/>
      <c r="AL179" s="519"/>
      <c r="AM179" s="519"/>
      <c r="AN179" s="519"/>
      <c r="AO179" s="519"/>
      <c r="AP179" s="519"/>
      <c r="AQ179" s="515"/>
      <c r="AR179" s="519"/>
      <c r="AS179" s="515"/>
      <c r="AT179" s="515"/>
      <c r="AU179" s="515"/>
      <c r="AV179" s="515"/>
      <c r="AW179" s="515"/>
      <c r="AX179" s="515"/>
      <c r="AY179" s="515"/>
      <c r="AZ179" s="515"/>
      <c r="BA179" s="515"/>
      <c r="BB179" s="515"/>
      <c r="BC179" s="643"/>
      <c r="BD179" s="515"/>
      <c r="BE179" s="515"/>
      <c r="BF179" s="515"/>
      <c r="BG179" s="515"/>
      <c r="BH179" s="631"/>
      <c r="BI179" s="515"/>
      <c r="BJ179" s="515"/>
      <c r="BK179" s="515"/>
      <c r="BL179" s="515"/>
      <c r="BM179" s="515"/>
      <c r="BN179" s="515"/>
      <c r="BO179" s="516"/>
    </row>
    <row r="180" spans="1:67" s="517" customFormat="1">
      <c r="A180"/>
      <c r="B180" s="107"/>
      <c r="C180" s="107"/>
      <c r="D180" s="107"/>
      <c r="E180" s="107"/>
      <c r="F180" s="107"/>
      <c r="G180"/>
      <c r="H180"/>
      <c r="I180" s="29"/>
      <c r="J180"/>
      <c r="K180" s="16"/>
      <c r="L180"/>
      <c r="M180" s="108"/>
      <c r="N180" s="102"/>
      <c r="O180" s="28"/>
      <c r="P180" s="103"/>
      <c r="Q180" s="102"/>
      <c r="R180" s="16"/>
      <c r="S180" s="104"/>
      <c r="T180" s="16"/>
      <c r="U180" s="104"/>
      <c r="V180" s="16"/>
      <c r="W180" s="104"/>
      <c r="X180" s="16"/>
      <c r="Y180" s="104"/>
      <c r="Z180" s="16"/>
      <c r="AA180" s="16"/>
      <c r="AB180" s="16"/>
      <c r="AC180" s="16"/>
      <c r="AD180" s="102"/>
      <c r="AE180" s="467"/>
      <c r="AF180" s="106"/>
      <c r="AG180" s="11"/>
      <c r="AH180" s="11"/>
      <c r="AI180" s="143"/>
      <c r="AJ180" s="105"/>
      <c r="AK180" s="519"/>
      <c r="AL180" s="519"/>
      <c r="AM180" s="519"/>
      <c r="AN180" s="519"/>
      <c r="AO180" s="519"/>
      <c r="AP180" s="519"/>
      <c r="AQ180" s="515"/>
      <c r="AR180" s="519"/>
      <c r="AS180" s="515"/>
      <c r="AT180" s="515"/>
      <c r="AU180" s="515"/>
      <c r="AV180" s="515"/>
      <c r="AW180" s="515"/>
      <c r="AX180" s="515"/>
      <c r="AY180" s="515"/>
      <c r="AZ180" s="515"/>
      <c r="BA180" s="515"/>
      <c r="BB180" s="515"/>
      <c r="BC180" s="643"/>
      <c r="BD180" s="515"/>
      <c r="BE180" s="515"/>
      <c r="BF180" s="515"/>
      <c r="BG180" s="515"/>
      <c r="BH180" s="631"/>
      <c r="BI180" s="515"/>
      <c r="BJ180" s="515"/>
      <c r="BK180" s="515"/>
      <c r="BL180" s="515"/>
      <c r="BM180" s="515"/>
      <c r="BN180" s="515"/>
      <c r="BO180" s="516"/>
    </row>
    <row r="181" spans="1:67" s="517" customFormat="1">
      <c r="A181"/>
      <c r="B181" s="107"/>
      <c r="C181" s="107"/>
      <c r="D181" s="107"/>
      <c r="E181" s="107"/>
      <c r="F181" s="107"/>
      <c r="G181"/>
      <c r="H181"/>
      <c r="I181" s="29"/>
      <c r="J181"/>
      <c r="K181" s="16"/>
      <c r="L181"/>
      <c r="M181" s="108"/>
      <c r="N181" s="102"/>
      <c r="O181" s="28"/>
      <c r="P181" s="103"/>
      <c r="Q181" s="102"/>
      <c r="R181" s="16"/>
      <c r="S181" s="104"/>
      <c r="T181" s="16"/>
      <c r="U181" s="104"/>
      <c r="V181" s="16"/>
      <c r="W181" s="104"/>
      <c r="X181" s="16"/>
      <c r="Y181" s="104"/>
      <c r="Z181" s="16"/>
      <c r="AA181" s="16"/>
      <c r="AB181" s="16"/>
      <c r="AC181" s="16"/>
      <c r="AD181" s="102"/>
      <c r="AE181" s="467"/>
      <c r="AF181" s="106"/>
      <c r="AG181" s="11"/>
      <c r="AH181" s="11"/>
      <c r="AI181" s="143"/>
      <c r="AJ181" s="105"/>
      <c r="AK181" s="519"/>
      <c r="AL181" s="519"/>
      <c r="AM181" s="519"/>
      <c r="AN181" s="519"/>
      <c r="AO181" s="519"/>
      <c r="AP181" s="519"/>
      <c r="AQ181" s="515"/>
      <c r="AR181" s="519"/>
      <c r="AS181" s="515"/>
      <c r="AT181" s="515"/>
      <c r="AU181" s="515"/>
      <c r="AV181" s="515"/>
      <c r="AW181" s="515"/>
      <c r="AX181" s="515"/>
      <c r="AY181" s="515"/>
      <c r="AZ181" s="515"/>
      <c r="BA181" s="515"/>
      <c r="BB181" s="515"/>
      <c r="BC181" s="643"/>
      <c r="BD181" s="515"/>
      <c r="BE181" s="515"/>
      <c r="BF181" s="515"/>
      <c r="BG181" s="515"/>
      <c r="BH181" s="631"/>
      <c r="BI181" s="515"/>
      <c r="BJ181" s="515"/>
      <c r="BK181" s="515"/>
      <c r="BL181" s="515"/>
      <c r="BM181" s="515"/>
      <c r="BN181" s="515"/>
      <c r="BO181" s="516"/>
    </row>
    <row r="182" spans="1:67" s="517" customFormat="1">
      <c r="A182"/>
      <c r="B182" s="107"/>
      <c r="C182" s="107"/>
      <c r="D182" s="107"/>
      <c r="E182" s="107"/>
      <c r="F182" s="107"/>
      <c r="G182"/>
      <c r="H182"/>
      <c r="I182" s="29"/>
      <c r="J182"/>
      <c r="K182" s="16"/>
      <c r="L182"/>
      <c r="M182" s="108"/>
      <c r="N182" s="102"/>
      <c r="O182" s="28"/>
      <c r="P182" s="103"/>
      <c r="Q182" s="102"/>
      <c r="R182" s="16"/>
      <c r="S182" s="104"/>
      <c r="T182" s="16"/>
      <c r="U182" s="104"/>
      <c r="V182" s="16"/>
      <c r="W182" s="104"/>
      <c r="X182" s="16"/>
      <c r="Y182" s="104"/>
      <c r="Z182" s="16"/>
      <c r="AA182" s="16"/>
      <c r="AB182" s="16"/>
      <c r="AC182" s="16"/>
      <c r="AD182" s="102"/>
      <c r="AE182" s="467"/>
      <c r="AF182" s="106"/>
      <c r="AG182" s="11"/>
      <c r="AH182" s="11"/>
      <c r="AI182" s="143"/>
      <c r="AJ182" s="105"/>
      <c r="AK182" s="519"/>
      <c r="AL182" s="519"/>
      <c r="AM182" s="519"/>
      <c r="AN182" s="519"/>
      <c r="AO182" s="519"/>
      <c r="AP182" s="519"/>
      <c r="AQ182" s="515"/>
      <c r="AR182" s="519"/>
      <c r="AS182" s="515"/>
      <c r="AT182" s="515"/>
      <c r="AU182" s="515"/>
      <c r="AV182" s="515"/>
      <c r="AW182" s="515"/>
      <c r="AX182" s="515"/>
      <c r="AY182" s="515"/>
      <c r="AZ182" s="515"/>
      <c r="BA182" s="515"/>
      <c r="BB182" s="515"/>
      <c r="BC182" s="643"/>
      <c r="BD182" s="515"/>
      <c r="BE182" s="515"/>
      <c r="BF182" s="515"/>
      <c r="BG182" s="515"/>
      <c r="BH182" s="631"/>
      <c r="BI182" s="515"/>
      <c r="BJ182" s="515"/>
      <c r="BK182" s="515"/>
      <c r="BL182" s="515"/>
      <c r="BM182" s="515"/>
      <c r="BN182" s="515"/>
      <c r="BO182" s="516"/>
    </row>
    <row r="183" spans="1:67" s="517" customFormat="1">
      <c r="A183"/>
      <c r="B183" s="107"/>
      <c r="C183" s="107"/>
      <c r="D183" s="107"/>
      <c r="E183" s="107"/>
      <c r="F183" s="107"/>
      <c r="G183"/>
      <c r="H183"/>
      <c r="I183" s="29"/>
      <c r="J183"/>
      <c r="K183" s="16"/>
      <c r="L183"/>
      <c r="M183" s="108"/>
      <c r="N183" s="102"/>
      <c r="O183" s="28"/>
      <c r="P183" s="103"/>
      <c r="Q183" s="102"/>
      <c r="R183" s="16"/>
      <c r="S183" s="104"/>
      <c r="T183" s="16"/>
      <c r="U183" s="104"/>
      <c r="V183" s="16"/>
      <c r="W183" s="104"/>
      <c r="X183" s="16"/>
      <c r="Y183" s="104"/>
      <c r="Z183" s="16"/>
      <c r="AA183" s="16"/>
      <c r="AB183" s="16"/>
      <c r="AC183" s="16"/>
      <c r="AD183" s="102"/>
      <c r="AE183" s="467"/>
      <c r="AF183" s="106"/>
      <c r="AG183" s="11"/>
      <c r="AH183" s="11"/>
      <c r="AI183" s="143"/>
      <c r="AJ183" s="105"/>
      <c r="AK183" s="519"/>
      <c r="AL183" s="519"/>
      <c r="AM183" s="519"/>
      <c r="AN183" s="519"/>
      <c r="AO183" s="519"/>
      <c r="AP183" s="519"/>
      <c r="AQ183" s="515"/>
      <c r="AR183" s="519"/>
      <c r="AS183" s="515"/>
      <c r="AT183" s="515"/>
      <c r="AU183" s="515"/>
      <c r="AV183" s="515"/>
      <c r="AW183" s="515"/>
      <c r="AX183" s="515"/>
      <c r="AY183" s="515"/>
      <c r="AZ183" s="515"/>
      <c r="BA183" s="515"/>
      <c r="BB183" s="515"/>
      <c r="BC183" s="643"/>
      <c r="BD183" s="515"/>
      <c r="BE183" s="515"/>
      <c r="BF183" s="515"/>
      <c r="BG183" s="515"/>
      <c r="BH183" s="631"/>
      <c r="BI183" s="515"/>
      <c r="BJ183" s="515"/>
      <c r="BK183" s="515"/>
      <c r="BL183" s="515"/>
      <c r="BM183" s="515"/>
      <c r="BN183" s="515"/>
      <c r="BO183" s="516"/>
    </row>
    <row r="184" spans="1:67" s="517" customFormat="1">
      <c r="A184"/>
      <c r="B184" s="107"/>
      <c r="C184" s="107"/>
      <c r="D184" s="107"/>
      <c r="E184" s="107"/>
      <c r="F184" s="107"/>
      <c r="G184"/>
      <c r="H184"/>
      <c r="I184" s="29"/>
      <c r="J184"/>
      <c r="K184" s="16"/>
      <c r="L184"/>
      <c r="M184" s="108"/>
      <c r="N184" s="102"/>
      <c r="O184" s="28"/>
      <c r="P184" s="103"/>
      <c r="Q184" s="102"/>
      <c r="R184" s="16"/>
      <c r="S184" s="104"/>
      <c r="T184" s="16"/>
      <c r="U184" s="104"/>
      <c r="V184" s="16"/>
      <c r="W184" s="104"/>
      <c r="X184" s="16"/>
      <c r="Y184" s="104"/>
      <c r="Z184" s="16"/>
      <c r="AA184" s="16"/>
      <c r="AB184" s="16"/>
      <c r="AC184" s="16"/>
      <c r="AD184" s="102"/>
      <c r="AE184" s="467"/>
      <c r="AF184" s="106"/>
      <c r="AG184" s="11"/>
      <c r="AH184" s="11"/>
      <c r="AI184" s="143"/>
      <c r="AJ184" s="105"/>
      <c r="AK184" s="519"/>
      <c r="AL184" s="519"/>
      <c r="AM184" s="519"/>
      <c r="AN184" s="519"/>
      <c r="AO184" s="519"/>
      <c r="AP184" s="519"/>
      <c r="AQ184" s="515"/>
      <c r="AR184" s="519"/>
      <c r="AS184" s="515"/>
      <c r="AT184" s="515"/>
      <c r="AU184" s="515"/>
      <c r="AV184" s="515"/>
      <c r="AW184" s="515"/>
      <c r="AX184" s="515"/>
      <c r="AY184" s="515"/>
      <c r="AZ184" s="515"/>
      <c r="BA184" s="515"/>
      <c r="BB184" s="515"/>
      <c r="BC184" s="643"/>
      <c r="BD184" s="515"/>
      <c r="BE184" s="515"/>
      <c r="BF184" s="515"/>
      <c r="BG184" s="515"/>
      <c r="BH184" s="631"/>
      <c r="BI184" s="515"/>
      <c r="BJ184" s="515"/>
      <c r="BK184" s="515"/>
      <c r="BL184" s="515"/>
      <c r="BM184" s="515"/>
      <c r="BN184" s="515"/>
      <c r="BO184" s="516"/>
    </row>
    <row r="185" spans="1:67" s="517" customFormat="1">
      <c r="A185"/>
      <c r="B185" s="107"/>
      <c r="C185" s="107"/>
      <c r="D185" s="107"/>
      <c r="E185" s="107"/>
      <c r="F185" s="107"/>
      <c r="G185"/>
      <c r="H185"/>
      <c r="I185" s="29"/>
      <c r="J185"/>
      <c r="K185" s="16"/>
      <c r="L185"/>
      <c r="M185" s="108"/>
      <c r="N185" s="102"/>
      <c r="O185" s="28"/>
      <c r="P185" s="103"/>
      <c r="Q185" s="102"/>
      <c r="R185" s="16"/>
      <c r="S185" s="104"/>
      <c r="T185" s="16"/>
      <c r="U185" s="104"/>
      <c r="V185" s="16"/>
      <c r="W185" s="104"/>
      <c r="X185" s="16"/>
      <c r="Y185" s="104"/>
      <c r="Z185" s="16"/>
      <c r="AA185" s="16"/>
      <c r="AB185" s="16"/>
      <c r="AC185" s="16"/>
      <c r="AD185" s="102"/>
      <c r="AE185" s="467"/>
      <c r="AF185" s="106"/>
      <c r="AG185" s="11"/>
      <c r="AH185" s="11"/>
      <c r="AI185" s="143"/>
      <c r="AJ185" s="105"/>
      <c r="AK185" s="519"/>
      <c r="AL185" s="519"/>
      <c r="AM185" s="519"/>
      <c r="AN185" s="519"/>
      <c r="AO185" s="519"/>
      <c r="AP185" s="519"/>
      <c r="AQ185" s="515"/>
      <c r="AR185" s="519"/>
      <c r="AS185" s="515"/>
      <c r="AT185" s="515"/>
      <c r="AU185" s="515"/>
      <c r="AV185" s="515"/>
      <c r="AW185" s="515"/>
      <c r="AX185" s="515"/>
      <c r="AY185" s="515"/>
      <c r="AZ185" s="515"/>
      <c r="BA185" s="515"/>
      <c r="BB185" s="515"/>
      <c r="BC185" s="643"/>
      <c r="BD185" s="515"/>
      <c r="BE185" s="515"/>
      <c r="BF185" s="515"/>
      <c r="BG185" s="515"/>
      <c r="BH185" s="631"/>
      <c r="BI185" s="515"/>
      <c r="BJ185" s="515"/>
      <c r="BK185" s="515"/>
      <c r="BL185" s="515"/>
      <c r="BM185" s="515"/>
      <c r="BN185" s="515"/>
      <c r="BO185" s="516"/>
    </row>
    <row r="186" spans="1:67" s="517" customFormat="1">
      <c r="A186"/>
      <c r="B186" s="107"/>
      <c r="C186" s="107"/>
      <c r="D186" s="107"/>
      <c r="E186" s="107"/>
      <c r="F186" s="107"/>
      <c r="G186"/>
      <c r="H186"/>
      <c r="I186" s="29"/>
      <c r="J186"/>
      <c r="K186" s="16"/>
      <c r="L186"/>
      <c r="M186" s="108"/>
      <c r="N186" s="102"/>
      <c r="O186" s="28"/>
      <c r="P186" s="103"/>
      <c r="Q186" s="102"/>
      <c r="R186" s="16"/>
      <c r="S186" s="104"/>
      <c r="T186" s="16"/>
      <c r="U186" s="104"/>
      <c r="V186" s="16"/>
      <c r="W186" s="104"/>
      <c r="X186" s="16"/>
      <c r="Y186" s="104"/>
      <c r="Z186" s="16"/>
      <c r="AA186" s="16"/>
      <c r="AB186" s="16"/>
      <c r="AC186" s="16"/>
      <c r="AD186" s="102"/>
      <c r="AE186" s="467"/>
      <c r="AF186" s="106"/>
      <c r="AG186" s="11"/>
      <c r="AH186" s="11"/>
      <c r="AI186" s="143"/>
      <c r="AJ186" s="105"/>
      <c r="AK186" s="519"/>
      <c r="AL186" s="519"/>
      <c r="AM186" s="519"/>
      <c r="AN186" s="519"/>
      <c r="AO186" s="519"/>
      <c r="AP186" s="519"/>
      <c r="AQ186" s="515"/>
      <c r="AR186" s="519"/>
      <c r="AS186" s="515"/>
      <c r="AT186" s="515"/>
      <c r="AU186" s="515"/>
      <c r="AV186" s="515"/>
      <c r="AW186" s="515"/>
      <c r="AX186" s="515"/>
      <c r="AY186" s="515"/>
      <c r="AZ186" s="515"/>
      <c r="BA186" s="515"/>
      <c r="BB186" s="515"/>
      <c r="BC186" s="643"/>
      <c r="BD186" s="515"/>
      <c r="BE186" s="515"/>
      <c r="BF186" s="515"/>
      <c r="BG186" s="515"/>
      <c r="BH186" s="631"/>
      <c r="BI186" s="515"/>
      <c r="BJ186" s="515"/>
      <c r="BK186" s="515"/>
      <c r="BL186" s="515"/>
      <c r="BM186" s="515"/>
      <c r="BN186" s="515"/>
      <c r="BO186" s="516"/>
    </row>
    <row r="187" spans="1:67" s="517" customFormat="1">
      <c r="A187"/>
      <c r="B187" s="107"/>
      <c r="C187" s="107"/>
      <c r="D187" s="107"/>
      <c r="E187" s="107"/>
      <c r="F187" s="107"/>
      <c r="G187"/>
      <c r="H187"/>
      <c r="I187" s="29"/>
      <c r="J187"/>
      <c r="K187" s="16"/>
      <c r="L187"/>
      <c r="M187" s="108"/>
      <c r="N187" s="102"/>
      <c r="O187" s="28"/>
      <c r="P187" s="103"/>
      <c r="Q187" s="102"/>
      <c r="R187" s="16"/>
      <c r="S187" s="104"/>
      <c r="T187" s="16"/>
      <c r="U187" s="104"/>
      <c r="V187" s="16"/>
      <c r="W187" s="104"/>
      <c r="X187" s="16"/>
      <c r="Y187" s="104"/>
      <c r="Z187" s="16"/>
      <c r="AA187" s="16"/>
      <c r="AB187" s="16"/>
      <c r="AC187" s="16"/>
      <c r="AD187" s="102"/>
      <c r="AE187" s="467"/>
      <c r="AF187" s="106"/>
      <c r="AG187" s="11"/>
      <c r="AH187" s="11"/>
      <c r="AI187" s="143"/>
      <c r="AJ187" s="105"/>
      <c r="AK187" s="519"/>
      <c r="AL187" s="519"/>
      <c r="AM187" s="519"/>
      <c r="AN187" s="519"/>
      <c r="AO187" s="519"/>
      <c r="AP187" s="519"/>
      <c r="AQ187" s="515"/>
      <c r="AR187" s="519"/>
      <c r="AS187" s="515"/>
      <c r="AT187" s="515"/>
      <c r="AU187" s="515"/>
      <c r="AV187" s="515"/>
      <c r="AW187" s="515"/>
      <c r="AX187" s="515"/>
      <c r="AY187" s="515"/>
      <c r="AZ187" s="515"/>
      <c r="BA187" s="515"/>
      <c r="BB187" s="515"/>
      <c r="BC187" s="643"/>
      <c r="BD187" s="515"/>
      <c r="BE187" s="515"/>
      <c r="BF187" s="515"/>
      <c r="BG187" s="515"/>
      <c r="BH187" s="631"/>
      <c r="BI187" s="515"/>
      <c r="BJ187" s="515"/>
      <c r="BK187" s="515"/>
      <c r="BL187" s="515"/>
      <c r="BM187" s="515"/>
      <c r="BN187" s="515"/>
      <c r="BO187" s="516"/>
    </row>
    <row r="188" spans="1:67" s="517" customFormat="1">
      <c r="A188"/>
      <c r="B188" s="107"/>
      <c r="C188" s="107"/>
      <c r="D188" s="107"/>
      <c r="E188" s="107"/>
      <c r="F188" s="107"/>
      <c r="G188"/>
      <c r="H188"/>
      <c r="I188" s="29"/>
      <c r="J188"/>
      <c r="K188" s="16"/>
      <c r="L188"/>
      <c r="M188" s="108"/>
      <c r="N188" s="102"/>
      <c r="O188" s="28"/>
      <c r="P188" s="103"/>
      <c r="Q188" s="102"/>
      <c r="R188" s="16"/>
      <c r="S188" s="104"/>
      <c r="T188" s="16"/>
      <c r="U188" s="104"/>
      <c r="V188" s="16"/>
      <c r="W188" s="104"/>
      <c r="X188" s="16"/>
      <c r="Y188" s="104"/>
      <c r="Z188" s="16"/>
      <c r="AA188" s="16"/>
      <c r="AB188" s="16"/>
      <c r="AC188" s="16"/>
      <c r="AD188" s="102"/>
      <c r="AE188" s="467"/>
      <c r="AF188" s="106"/>
      <c r="AG188" s="11"/>
      <c r="AH188" s="11"/>
      <c r="AI188" s="143"/>
      <c r="AJ188" s="105"/>
      <c r="AK188" s="519"/>
      <c r="AL188" s="519"/>
      <c r="AM188" s="519"/>
      <c r="AN188" s="519"/>
      <c r="AO188" s="519"/>
      <c r="AP188" s="519"/>
      <c r="AQ188" s="515"/>
      <c r="AR188" s="519"/>
      <c r="AS188" s="515"/>
      <c r="AT188" s="515"/>
      <c r="AU188" s="515"/>
      <c r="AV188" s="515"/>
      <c r="AW188" s="515"/>
      <c r="AX188" s="515"/>
      <c r="AY188" s="515"/>
      <c r="AZ188" s="515"/>
      <c r="BA188" s="515"/>
      <c r="BB188" s="515"/>
      <c r="BC188" s="643"/>
      <c r="BD188" s="515"/>
      <c r="BE188" s="515"/>
      <c r="BF188" s="515"/>
      <c r="BG188" s="515"/>
      <c r="BH188" s="631"/>
      <c r="BI188" s="515"/>
      <c r="BJ188" s="515"/>
      <c r="BK188" s="515"/>
      <c r="BL188" s="515"/>
      <c r="BM188" s="515"/>
      <c r="BN188" s="515"/>
      <c r="BO188" s="516"/>
    </row>
    <row r="189" spans="1:67" s="517" customFormat="1">
      <c r="A189"/>
      <c r="B189" s="107"/>
      <c r="C189" s="107"/>
      <c r="D189" s="107"/>
      <c r="E189" s="107"/>
      <c r="F189" s="107"/>
      <c r="G189"/>
      <c r="H189"/>
      <c r="I189" s="29"/>
      <c r="J189"/>
      <c r="K189" s="16"/>
      <c r="L189"/>
      <c r="M189" s="108"/>
      <c r="N189" s="102"/>
      <c r="O189" s="28"/>
      <c r="P189" s="103"/>
      <c r="Q189" s="102"/>
      <c r="R189" s="16"/>
      <c r="S189" s="104"/>
      <c r="T189" s="16"/>
      <c r="U189" s="104"/>
      <c r="V189" s="16"/>
      <c r="W189" s="104"/>
      <c r="X189" s="16"/>
      <c r="Y189" s="104"/>
      <c r="Z189" s="16"/>
      <c r="AA189" s="16"/>
      <c r="AB189" s="16"/>
      <c r="AC189" s="16"/>
      <c r="AD189" s="102"/>
      <c r="AE189" s="467"/>
      <c r="AF189" s="106"/>
      <c r="AG189" s="11"/>
      <c r="AH189" s="11"/>
      <c r="AI189" s="143"/>
      <c r="AJ189" s="105"/>
      <c r="AK189" s="519"/>
      <c r="AL189" s="519"/>
      <c r="AM189" s="519"/>
      <c r="AN189" s="519"/>
      <c r="AO189" s="519"/>
      <c r="AP189" s="519"/>
      <c r="AQ189" s="515"/>
      <c r="AR189" s="519"/>
      <c r="AS189" s="515"/>
      <c r="AT189" s="515"/>
      <c r="AU189" s="515"/>
      <c r="AV189" s="515"/>
      <c r="AW189" s="515"/>
      <c r="AX189" s="515"/>
      <c r="AY189" s="515"/>
      <c r="AZ189" s="515"/>
      <c r="BA189" s="515"/>
      <c r="BB189" s="515"/>
      <c r="BC189" s="643"/>
      <c r="BD189" s="515"/>
      <c r="BE189" s="515"/>
      <c r="BF189" s="515"/>
      <c r="BG189" s="515"/>
      <c r="BH189" s="631"/>
      <c r="BI189" s="515"/>
      <c r="BJ189" s="515"/>
      <c r="BK189" s="515"/>
      <c r="BL189" s="515"/>
      <c r="BM189" s="515"/>
      <c r="BN189" s="515"/>
      <c r="BO189" s="516"/>
    </row>
    <row r="190" spans="1:67" s="517" customFormat="1">
      <c r="A190"/>
      <c r="B190" s="107"/>
      <c r="C190" s="107"/>
      <c r="D190" s="107"/>
      <c r="E190" s="107"/>
      <c r="F190" s="107"/>
      <c r="G190"/>
      <c r="H190"/>
      <c r="I190" s="29"/>
      <c r="J190"/>
      <c r="K190" s="16"/>
      <c r="L190"/>
      <c r="M190" s="108"/>
      <c r="N190" s="102"/>
      <c r="O190" s="28"/>
      <c r="P190" s="103"/>
      <c r="Q190" s="102"/>
      <c r="R190" s="16"/>
      <c r="S190" s="104"/>
      <c r="T190" s="16"/>
      <c r="U190" s="104"/>
      <c r="V190" s="16"/>
      <c r="W190" s="104"/>
      <c r="X190" s="16"/>
      <c r="Y190" s="104"/>
      <c r="Z190" s="16"/>
      <c r="AA190" s="16"/>
      <c r="AB190" s="16"/>
      <c r="AC190" s="16"/>
      <c r="AD190" s="102"/>
      <c r="AE190" s="467"/>
      <c r="AF190" s="106"/>
      <c r="AG190" s="11"/>
      <c r="AH190" s="11"/>
      <c r="AI190" s="143"/>
      <c r="AJ190" s="105"/>
      <c r="AK190" s="519"/>
      <c r="AL190" s="519"/>
      <c r="AM190" s="519"/>
      <c r="AN190" s="519"/>
      <c r="AO190" s="519"/>
      <c r="AP190" s="519"/>
      <c r="AQ190" s="515"/>
      <c r="AR190" s="519"/>
      <c r="AS190" s="515"/>
      <c r="AT190" s="515"/>
      <c r="AU190" s="515"/>
      <c r="AV190" s="515"/>
      <c r="AW190" s="515"/>
      <c r="AX190" s="515"/>
      <c r="AY190" s="515"/>
      <c r="AZ190" s="515"/>
      <c r="BA190" s="515"/>
      <c r="BB190" s="515"/>
      <c r="BC190" s="643"/>
      <c r="BD190" s="515"/>
      <c r="BE190" s="515"/>
      <c r="BF190" s="515"/>
      <c r="BG190" s="515"/>
      <c r="BH190" s="631"/>
      <c r="BI190" s="515"/>
      <c r="BJ190" s="515"/>
      <c r="BK190" s="515"/>
      <c r="BL190" s="515"/>
      <c r="BM190" s="515"/>
      <c r="BN190" s="515"/>
      <c r="BO190" s="516"/>
    </row>
    <row r="191" spans="1:67" s="517" customFormat="1">
      <c r="A191"/>
      <c r="B191" s="107"/>
      <c r="C191" s="107"/>
      <c r="D191" s="107"/>
      <c r="E191" s="107"/>
      <c r="F191" s="107"/>
      <c r="G191"/>
      <c r="H191"/>
      <c r="I191" s="29"/>
      <c r="J191"/>
      <c r="K191" s="16"/>
      <c r="L191"/>
      <c r="M191" s="108"/>
      <c r="N191" s="102"/>
      <c r="O191" s="28"/>
      <c r="P191" s="103"/>
      <c r="Q191" s="102"/>
      <c r="R191" s="16"/>
      <c r="S191" s="104"/>
      <c r="T191" s="16"/>
      <c r="U191" s="104"/>
      <c r="V191" s="16"/>
      <c r="W191" s="104"/>
      <c r="X191" s="16"/>
      <c r="Y191" s="104"/>
      <c r="Z191" s="16"/>
      <c r="AA191" s="16"/>
      <c r="AB191" s="16"/>
      <c r="AC191" s="16"/>
      <c r="AD191" s="102"/>
      <c r="AE191" s="467"/>
      <c r="AF191" s="106"/>
      <c r="AG191" s="11"/>
      <c r="AH191" s="11"/>
      <c r="AI191" s="143"/>
      <c r="AJ191" s="105"/>
      <c r="AK191" s="519"/>
      <c r="AL191" s="519"/>
      <c r="AM191" s="519"/>
      <c r="AN191" s="519"/>
      <c r="AO191" s="519"/>
      <c r="AP191" s="519"/>
      <c r="AQ191" s="515"/>
      <c r="AR191" s="519"/>
      <c r="AS191" s="515"/>
      <c r="AT191" s="515"/>
      <c r="AU191" s="515"/>
      <c r="AV191" s="515"/>
      <c r="AW191" s="515"/>
      <c r="AX191" s="515"/>
      <c r="AY191" s="515"/>
      <c r="AZ191" s="515"/>
      <c r="BA191" s="515"/>
      <c r="BB191" s="515"/>
      <c r="BC191" s="643"/>
      <c r="BD191" s="515"/>
      <c r="BE191" s="515"/>
      <c r="BF191" s="515"/>
      <c r="BG191" s="515"/>
      <c r="BH191" s="631"/>
      <c r="BI191" s="515"/>
      <c r="BJ191" s="515"/>
      <c r="BK191" s="515"/>
      <c r="BL191" s="515"/>
      <c r="BM191" s="515"/>
      <c r="BN191" s="515"/>
      <c r="BO191" s="516"/>
    </row>
    <row r="192" spans="1:67" s="517" customFormat="1">
      <c r="A192"/>
      <c r="B192" s="107"/>
      <c r="C192" s="107"/>
      <c r="D192" s="107"/>
      <c r="E192" s="107"/>
      <c r="F192" s="107"/>
      <c r="G192"/>
      <c r="H192"/>
      <c r="I192" s="29"/>
      <c r="J192"/>
      <c r="K192" s="16"/>
      <c r="L192"/>
      <c r="M192" s="108"/>
      <c r="N192" s="102"/>
      <c r="O192" s="28"/>
      <c r="P192" s="103"/>
      <c r="Q192" s="102"/>
      <c r="R192" s="16"/>
      <c r="S192" s="104"/>
      <c r="T192" s="16"/>
      <c r="U192" s="104"/>
      <c r="V192" s="16"/>
      <c r="W192" s="104"/>
      <c r="X192" s="16"/>
      <c r="Y192" s="104"/>
      <c r="Z192" s="16"/>
      <c r="AA192" s="16"/>
      <c r="AB192" s="16"/>
      <c r="AC192" s="16"/>
      <c r="AD192" s="102"/>
      <c r="AE192" s="467"/>
      <c r="AF192" s="106"/>
      <c r="AG192" s="11"/>
      <c r="AH192" s="11"/>
      <c r="AI192" s="143"/>
      <c r="AJ192" s="105"/>
      <c r="AK192" s="519"/>
      <c r="AL192" s="519"/>
      <c r="AM192" s="519"/>
      <c r="AN192" s="519"/>
      <c r="AO192" s="519"/>
      <c r="AP192" s="519"/>
      <c r="AQ192" s="515"/>
      <c r="AR192" s="519"/>
      <c r="AS192" s="515"/>
      <c r="AT192" s="515"/>
      <c r="AU192" s="515"/>
      <c r="AV192" s="515"/>
      <c r="AW192" s="515"/>
      <c r="AX192" s="515"/>
      <c r="AY192" s="515"/>
      <c r="AZ192" s="515"/>
      <c r="BA192" s="515"/>
      <c r="BB192" s="515"/>
      <c r="BC192" s="643"/>
      <c r="BD192" s="515"/>
      <c r="BE192" s="515"/>
      <c r="BF192" s="515"/>
      <c r="BG192" s="515"/>
      <c r="BH192" s="631"/>
      <c r="BI192" s="515"/>
      <c r="BJ192" s="515"/>
      <c r="BK192" s="515"/>
      <c r="BL192" s="515"/>
      <c r="BM192" s="515"/>
      <c r="BN192" s="515"/>
      <c r="BO192" s="516"/>
    </row>
    <row r="193" spans="1:67" s="517" customFormat="1">
      <c r="A193"/>
      <c r="B193" s="107"/>
      <c r="C193" s="107"/>
      <c r="D193" s="107"/>
      <c r="E193" s="107"/>
      <c r="F193" s="107"/>
      <c r="G193"/>
      <c r="H193"/>
      <c r="I193" s="29"/>
      <c r="J193"/>
      <c r="K193" s="16"/>
      <c r="L193"/>
      <c r="M193" s="108"/>
      <c r="N193" s="102"/>
      <c r="O193" s="28"/>
      <c r="P193" s="103"/>
      <c r="Q193" s="102"/>
      <c r="R193" s="16"/>
      <c r="S193" s="104"/>
      <c r="T193" s="16"/>
      <c r="U193" s="104"/>
      <c r="V193" s="16"/>
      <c r="W193" s="104"/>
      <c r="X193" s="16"/>
      <c r="Y193" s="104"/>
      <c r="Z193" s="16"/>
      <c r="AA193" s="16"/>
      <c r="AB193" s="16"/>
      <c r="AC193" s="16"/>
      <c r="AD193" s="102"/>
      <c r="AE193" s="467"/>
      <c r="AF193" s="106"/>
      <c r="AG193" s="11"/>
      <c r="AH193" s="11"/>
      <c r="AI193" s="143"/>
      <c r="AJ193" s="105"/>
      <c r="AK193" s="519"/>
      <c r="AL193" s="519"/>
      <c r="AM193" s="519"/>
      <c r="AN193" s="519"/>
      <c r="AO193" s="519"/>
      <c r="AP193" s="519"/>
      <c r="AQ193" s="515"/>
      <c r="AR193" s="519"/>
      <c r="AS193" s="515"/>
      <c r="AT193" s="515"/>
      <c r="AU193" s="515"/>
      <c r="AV193" s="515"/>
      <c r="AW193" s="515"/>
      <c r="AX193" s="515"/>
      <c r="AY193" s="515"/>
      <c r="AZ193" s="515"/>
      <c r="BA193" s="515"/>
      <c r="BB193" s="515"/>
      <c r="BC193" s="643"/>
      <c r="BD193" s="515"/>
      <c r="BE193" s="515"/>
      <c r="BF193" s="515"/>
      <c r="BG193" s="515"/>
      <c r="BH193" s="631"/>
      <c r="BI193" s="515"/>
      <c r="BJ193" s="515"/>
      <c r="BK193" s="515"/>
      <c r="BL193" s="515"/>
      <c r="BM193" s="515"/>
      <c r="BN193" s="515"/>
      <c r="BO193" s="516"/>
    </row>
    <row r="194" spans="1:67" s="517" customFormat="1">
      <c r="A194"/>
      <c r="B194" s="107"/>
      <c r="C194" s="107"/>
      <c r="D194" s="107"/>
      <c r="E194" s="107"/>
      <c r="F194" s="107"/>
      <c r="G194"/>
      <c r="H194"/>
      <c r="I194" s="29"/>
      <c r="J194"/>
      <c r="K194" s="16"/>
      <c r="L194"/>
      <c r="M194" s="108"/>
      <c r="N194" s="102"/>
      <c r="O194" s="28"/>
      <c r="P194" s="103"/>
      <c r="Q194" s="102"/>
      <c r="R194" s="16"/>
      <c r="S194" s="104"/>
      <c r="T194" s="16"/>
      <c r="U194" s="104"/>
      <c r="V194" s="16"/>
      <c r="W194" s="104"/>
      <c r="X194" s="16"/>
      <c r="Y194" s="104"/>
      <c r="Z194" s="16"/>
      <c r="AA194" s="16"/>
      <c r="AB194" s="16"/>
      <c r="AC194" s="16"/>
      <c r="AD194" s="102"/>
      <c r="AE194" s="467"/>
      <c r="AF194" s="106"/>
      <c r="AG194" s="11"/>
      <c r="AH194" s="11"/>
      <c r="AI194" s="143"/>
      <c r="AJ194" s="105"/>
      <c r="AK194" s="519"/>
      <c r="AL194" s="519"/>
      <c r="AM194" s="519"/>
      <c r="AN194" s="519"/>
      <c r="AO194" s="519"/>
      <c r="AP194" s="519"/>
      <c r="AQ194" s="515"/>
      <c r="AR194" s="519"/>
      <c r="AS194" s="515"/>
      <c r="AT194" s="515"/>
      <c r="AU194" s="515"/>
      <c r="AV194" s="515"/>
      <c r="AW194" s="515"/>
      <c r="AX194" s="515"/>
      <c r="AY194" s="515"/>
      <c r="AZ194" s="515"/>
      <c r="BA194" s="515"/>
      <c r="BB194" s="515"/>
      <c r="BC194" s="643"/>
      <c r="BD194" s="515"/>
      <c r="BE194" s="515"/>
      <c r="BF194" s="515"/>
      <c r="BG194" s="515"/>
      <c r="BH194" s="631"/>
      <c r="BI194" s="515"/>
      <c r="BJ194" s="515"/>
      <c r="BK194" s="515"/>
      <c r="BL194" s="515"/>
      <c r="BM194" s="515"/>
      <c r="BN194" s="515"/>
      <c r="BO194" s="516"/>
    </row>
    <row r="195" spans="1:67" s="517" customFormat="1">
      <c r="A195"/>
      <c r="B195" s="107"/>
      <c r="C195" s="107"/>
      <c r="D195" s="107"/>
      <c r="E195" s="107"/>
      <c r="F195" s="107"/>
      <c r="G195"/>
      <c r="H195"/>
      <c r="I195" s="29"/>
      <c r="J195"/>
      <c r="K195" s="16"/>
      <c r="L195"/>
      <c r="M195" s="108"/>
      <c r="N195" s="102"/>
      <c r="O195" s="28"/>
      <c r="P195" s="103"/>
      <c r="Q195" s="102"/>
      <c r="R195" s="16"/>
      <c r="S195" s="104"/>
      <c r="T195" s="16"/>
      <c r="U195" s="104"/>
      <c r="V195" s="16"/>
      <c r="W195" s="104"/>
      <c r="X195" s="16"/>
      <c r="Y195" s="104"/>
      <c r="Z195" s="16"/>
      <c r="AA195" s="16"/>
      <c r="AB195" s="16"/>
      <c r="AC195" s="16"/>
      <c r="AD195" s="102"/>
      <c r="AE195" s="467"/>
      <c r="AF195" s="106"/>
      <c r="AG195" s="11"/>
      <c r="AH195" s="11"/>
      <c r="AI195" s="143"/>
      <c r="AJ195" s="105"/>
      <c r="AK195" s="519"/>
      <c r="AL195" s="519"/>
      <c r="AM195" s="519"/>
      <c r="AN195" s="519"/>
      <c r="AO195" s="519"/>
      <c r="AP195" s="519"/>
      <c r="AQ195" s="515"/>
      <c r="AR195" s="519"/>
      <c r="AS195" s="515"/>
      <c r="AT195" s="515"/>
      <c r="AU195" s="515"/>
      <c r="AV195" s="515"/>
      <c r="AW195" s="515"/>
      <c r="AX195" s="515"/>
      <c r="AY195" s="515"/>
      <c r="AZ195" s="515"/>
      <c r="BA195" s="515"/>
      <c r="BB195" s="515"/>
      <c r="BC195" s="643"/>
      <c r="BD195" s="515"/>
      <c r="BE195" s="515"/>
      <c r="BF195" s="515"/>
      <c r="BG195" s="515"/>
      <c r="BH195" s="631"/>
      <c r="BI195" s="515"/>
      <c r="BJ195" s="515"/>
      <c r="BK195" s="515"/>
      <c r="BL195" s="515"/>
      <c r="BM195" s="515"/>
      <c r="BN195" s="515"/>
      <c r="BO195" s="516"/>
    </row>
    <row r="196" spans="1:67" s="517" customFormat="1">
      <c r="A196"/>
      <c r="B196" s="107"/>
      <c r="C196" s="107"/>
      <c r="D196" s="107"/>
      <c r="E196" s="107"/>
      <c r="F196" s="107"/>
      <c r="G196"/>
      <c r="H196"/>
      <c r="I196" s="29"/>
      <c r="J196"/>
      <c r="K196" s="16"/>
      <c r="L196"/>
      <c r="M196" s="108"/>
      <c r="N196" s="102"/>
      <c r="O196" s="28"/>
      <c r="P196" s="103"/>
      <c r="Q196" s="102"/>
      <c r="R196" s="16"/>
      <c r="S196" s="104"/>
      <c r="T196" s="16"/>
      <c r="U196" s="104"/>
      <c r="V196" s="16"/>
      <c r="W196" s="104"/>
      <c r="X196" s="16"/>
      <c r="Y196" s="104"/>
      <c r="Z196" s="16"/>
      <c r="AA196" s="16"/>
      <c r="AB196" s="16"/>
      <c r="AC196" s="16"/>
      <c r="AD196" s="102"/>
      <c r="AE196" s="467"/>
      <c r="AF196" s="106"/>
      <c r="AG196" s="11"/>
      <c r="AH196" s="11"/>
      <c r="AI196" s="143"/>
      <c r="AJ196" s="105"/>
      <c r="AK196" s="519"/>
      <c r="AL196" s="519"/>
      <c r="AM196" s="519"/>
      <c r="AN196" s="519"/>
      <c r="AO196" s="519"/>
      <c r="AP196" s="519"/>
      <c r="AQ196" s="515"/>
      <c r="AR196" s="519"/>
      <c r="AS196" s="515"/>
      <c r="AT196" s="515"/>
      <c r="AU196" s="515"/>
      <c r="AV196" s="515"/>
      <c r="AW196" s="515"/>
      <c r="AX196" s="515"/>
      <c r="AY196" s="515"/>
      <c r="AZ196" s="515"/>
      <c r="BA196" s="515"/>
      <c r="BB196" s="515"/>
      <c r="BC196" s="643"/>
      <c r="BD196" s="515"/>
      <c r="BE196" s="515"/>
      <c r="BF196" s="515"/>
      <c r="BG196" s="515"/>
      <c r="BH196" s="631"/>
      <c r="BI196" s="515"/>
      <c r="BJ196" s="515"/>
      <c r="BK196" s="515"/>
      <c r="BL196" s="515"/>
      <c r="BM196" s="515"/>
      <c r="BN196" s="515"/>
      <c r="BO196" s="516"/>
    </row>
    <row r="197" spans="1:67" s="517" customFormat="1">
      <c r="A197"/>
      <c r="B197" s="107"/>
      <c r="C197" s="107"/>
      <c r="D197" s="107"/>
      <c r="E197" s="107"/>
      <c r="F197" s="107"/>
      <c r="G197"/>
      <c r="H197"/>
      <c r="I197" s="29"/>
      <c r="J197"/>
      <c r="K197" s="16"/>
      <c r="L197"/>
      <c r="M197" s="108"/>
      <c r="N197" s="102"/>
      <c r="O197" s="28"/>
      <c r="P197" s="103"/>
      <c r="Q197" s="102"/>
      <c r="R197" s="16"/>
      <c r="S197" s="104"/>
      <c r="T197" s="16"/>
      <c r="U197" s="104"/>
      <c r="V197" s="16"/>
      <c r="W197" s="104"/>
      <c r="X197" s="16"/>
      <c r="Y197" s="104"/>
      <c r="Z197" s="16"/>
      <c r="AA197" s="16"/>
      <c r="AB197" s="16"/>
      <c r="AC197" s="16"/>
      <c r="AD197" s="102"/>
      <c r="AE197" s="467"/>
      <c r="AF197" s="106"/>
      <c r="AG197" s="11"/>
      <c r="AH197" s="11"/>
      <c r="AI197" s="143"/>
      <c r="AJ197" s="105"/>
      <c r="AK197" s="519"/>
      <c r="AL197" s="519"/>
      <c r="AM197" s="519"/>
      <c r="AN197" s="519"/>
      <c r="AO197" s="519"/>
      <c r="AP197" s="519"/>
      <c r="AQ197" s="515"/>
      <c r="AR197" s="519"/>
      <c r="AS197" s="515"/>
      <c r="AT197" s="515"/>
      <c r="AU197" s="515"/>
      <c r="AV197" s="515"/>
      <c r="AW197" s="515"/>
      <c r="AX197" s="515"/>
      <c r="AY197" s="515"/>
      <c r="AZ197" s="515"/>
      <c r="BA197" s="515"/>
      <c r="BB197" s="515"/>
      <c r="BC197" s="643"/>
      <c r="BD197" s="515"/>
      <c r="BE197" s="515"/>
      <c r="BF197" s="515"/>
      <c r="BG197" s="515"/>
      <c r="BH197" s="631"/>
      <c r="BI197" s="515"/>
      <c r="BJ197" s="515"/>
      <c r="BK197" s="515"/>
      <c r="BL197" s="515"/>
      <c r="BM197" s="515"/>
      <c r="BN197" s="515"/>
      <c r="BO197" s="516"/>
    </row>
    <row r="198" spans="1:67" s="517" customFormat="1">
      <c r="A198"/>
      <c r="B198" s="107"/>
      <c r="C198" s="107"/>
      <c r="D198" s="107"/>
      <c r="E198" s="107"/>
      <c r="F198" s="107"/>
      <c r="G198"/>
      <c r="H198"/>
      <c r="I198" s="29"/>
      <c r="J198"/>
      <c r="K198" s="16"/>
      <c r="L198"/>
      <c r="M198" s="108"/>
      <c r="N198" s="102"/>
      <c r="O198" s="28"/>
      <c r="P198" s="103"/>
      <c r="Q198" s="102"/>
      <c r="R198" s="16"/>
      <c r="S198" s="104"/>
      <c r="T198" s="16"/>
      <c r="U198" s="104"/>
      <c r="V198" s="16"/>
      <c r="W198" s="104"/>
      <c r="X198" s="16"/>
      <c r="Y198" s="104"/>
      <c r="Z198" s="16"/>
      <c r="AA198" s="16"/>
      <c r="AB198" s="16"/>
      <c r="AC198" s="16"/>
      <c r="AD198" s="102"/>
      <c r="AE198" s="467"/>
      <c r="AF198" s="106"/>
      <c r="AG198" s="11"/>
      <c r="AH198" s="11"/>
      <c r="AI198" s="143"/>
      <c r="AJ198" s="105"/>
      <c r="AK198" s="519"/>
      <c r="AL198" s="519"/>
      <c r="AM198" s="519"/>
      <c r="AN198" s="519"/>
      <c r="AO198" s="519"/>
      <c r="AP198" s="519"/>
      <c r="AQ198" s="515"/>
      <c r="AR198" s="519"/>
      <c r="AS198" s="515"/>
      <c r="AT198" s="515"/>
      <c r="AU198" s="515"/>
      <c r="AV198" s="515"/>
      <c r="AW198" s="515"/>
      <c r="AX198" s="515"/>
      <c r="AY198" s="515"/>
      <c r="AZ198" s="515"/>
      <c r="BA198" s="515"/>
      <c r="BB198" s="515"/>
      <c r="BC198" s="643"/>
      <c r="BD198" s="515"/>
      <c r="BE198" s="515"/>
      <c r="BF198" s="515"/>
      <c r="BG198" s="515"/>
      <c r="BH198" s="631"/>
      <c r="BI198" s="515"/>
      <c r="BJ198" s="515"/>
      <c r="BK198" s="515"/>
      <c r="BL198" s="515"/>
      <c r="BM198" s="515"/>
      <c r="BN198" s="515"/>
      <c r="BO198" s="516"/>
    </row>
    <row r="199" spans="1:67" s="517" customFormat="1">
      <c r="A199"/>
      <c r="B199" s="107"/>
      <c r="C199" s="107"/>
      <c r="D199" s="107"/>
      <c r="E199" s="107"/>
      <c r="F199" s="107"/>
      <c r="G199"/>
      <c r="H199"/>
      <c r="I199" s="29"/>
      <c r="J199"/>
      <c r="K199" s="16"/>
      <c r="L199"/>
      <c r="M199" s="108"/>
      <c r="N199" s="102"/>
      <c r="O199" s="28"/>
      <c r="P199" s="103"/>
      <c r="Q199" s="102"/>
      <c r="R199" s="16"/>
      <c r="S199" s="104"/>
      <c r="T199" s="16"/>
      <c r="U199" s="104"/>
      <c r="V199" s="16"/>
      <c r="W199" s="104"/>
      <c r="X199" s="16"/>
      <c r="Y199" s="104"/>
      <c r="Z199" s="16"/>
      <c r="AA199" s="16"/>
      <c r="AB199" s="16"/>
      <c r="AC199" s="16"/>
      <c r="AD199" s="102"/>
      <c r="AE199" s="467"/>
      <c r="AF199" s="106"/>
      <c r="AG199" s="11"/>
      <c r="AH199" s="11"/>
      <c r="AI199" s="143"/>
      <c r="AJ199" s="105"/>
      <c r="AK199" s="519"/>
      <c r="AL199" s="519"/>
      <c r="AM199" s="519"/>
      <c r="AN199" s="519"/>
      <c r="AO199" s="519"/>
      <c r="AP199" s="519"/>
      <c r="AQ199" s="515"/>
      <c r="AR199" s="519"/>
      <c r="AS199" s="515"/>
      <c r="AT199" s="515"/>
      <c r="AU199" s="515"/>
      <c r="AV199" s="515"/>
      <c r="AW199" s="515"/>
      <c r="AX199" s="515"/>
      <c r="AY199" s="515"/>
      <c r="AZ199" s="515"/>
      <c r="BA199" s="515"/>
      <c r="BB199" s="515"/>
      <c r="BC199" s="643"/>
      <c r="BD199" s="515"/>
      <c r="BE199" s="515"/>
      <c r="BF199" s="515"/>
      <c r="BG199" s="515"/>
      <c r="BH199" s="631"/>
      <c r="BI199" s="515"/>
      <c r="BJ199" s="515"/>
      <c r="BK199" s="515"/>
      <c r="BL199" s="515"/>
      <c r="BM199" s="515"/>
      <c r="BN199" s="515"/>
      <c r="BO199" s="516"/>
    </row>
    <row r="200" spans="1:67" s="517" customFormat="1">
      <c r="A200"/>
      <c r="B200" s="107"/>
      <c r="C200" s="107"/>
      <c r="D200" s="107"/>
      <c r="E200" s="107"/>
      <c r="F200" s="107"/>
      <c r="G200"/>
      <c r="H200"/>
      <c r="I200" s="29"/>
      <c r="J200"/>
      <c r="K200" s="16"/>
      <c r="L200"/>
      <c r="M200" s="108"/>
      <c r="N200" s="102"/>
      <c r="O200" s="28"/>
      <c r="P200" s="103"/>
      <c r="Q200" s="102"/>
      <c r="R200" s="16"/>
      <c r="S200" s="104"/>
      <c r="T200" s="16"/>
      <c r="U200" s="104"/>
      <c r="V200" s="16"/>
      <c r="W200" s="104"/>
      <c r="X200" s="16"/>
      <c r="Y200" s="104"/>
      <c r="Z200" s="16"/>
      <c r="AA200" s="16"/>
      <c r="AB200" s="16"/>
      <c r="AC200" s="16"/>
      <c r="AD200" s="102"/>
      <c r="AE200" s="467"/>
      <c r="AF200" s="106"/>
      <c r="AG200" s="11"/>
      <c r="AH200" s="11"/>
      <c r="AI200" s="143"/>
      <c r="AJ200" s="105"/>
      <c r="AK200" s="519"/>
      <c r="AL200" s="519"/>
      <c r="AM200" s="519"/>
      <c r="AN200" s="519"/>
      <c r="AO200" s="519"/>
      <c r="AP200" s="519"/>
      <c r="AQ200" s="515"/>
      <c r="AR200" s="519"/>
      <c r="AS200" s="515"/>
      <c r="AT200" s="515"/>
      <c r="AU200" s="515"/>
      <c r="AV200" s="515"/>
      <c r="AW200" s="515"/>
      <c r="AX200" s="515"/>
      <c r="AY200" s="515"/>
      <c r="AZ200" s="515"/>
      <c r="BA200" s="515"/>
      <c r="BB200" s="515"/>
      <c r="BC200" s="643"/>
      <c r="BD200" s="515"/>
      <c r="BE200" s="515"/>
      <c r="BF200" s="515"/>
      <c r="BG200" s="515"/>
      <c r="BH200" s="631"/>
      <c r="BI200" s="515"/>
      <c r="BJ200" s="515"/>
      <c r="BK200" s="515"/>
      <c r="BL200" s="515"/>
      <c r="BM200" s="515"/>
      <c r="BN200" s="515"/>
      <c r="BO200" s="516"/>
    </row>
    <row r="201" spans="1:67" s="517" customFormat="1">
      <c r="A201"/>
      <c r="B201" s="107"/>
      <c r="C201" s="107"/>
      <c r="D201" s="107"/>
      <c r="E201" s="107"/>
      <c r="F201" s="107"/>
      <c r="G201"/>
      <c r="H201"/>
      <c r="I201" s="29"/>
      <c r="J201"/>
      <c r="K201" s="16"/>
      <c r="L201"/>
      <c r="M201" s="108"/>
      <c r="N201" s="102"/>
      <c r="O201" s="28"/>
      <c r="P201" s="103"/>
      <c r="Q201" s="102"/>
      <c r="R201" s="16"/>
      <c r="S201" s="104"/>
      <c r="T201" s="16"/>
      <c r="U201" s="104"/>
      <c r="V201" s="16"/>
      <c r="W201" s="104"/>
      <c r="X201" s="16"/>
      <c r="Y201" s="104"/>
      <c r="Z201" s="16"/>
      <c r="AA201" s="16"/>
      <c r="AB201" s="16"/>
      <c r="AC201" s="16"/>
      <c r="AD201" s="102"/>
      <c r="AE201" s="467"/>
      <c r="AF201" s="106"/>
      <c r="AG201" s="11"/>
      <c r="AH201" s="11"/>
      <c r="AI201" s="143"/>
      <c r="AJ201" s="105"/>
      <c r="AK201" s="519"/>
      <c r="AL201" s="519"/>
      <c r="AM201" s="519"/>
      <c r="AN201" s="519"/>
      <c r="AO201" s="519"/>
      <c r="AP201" s="519"/>
      <c r="AQ201" s="515"/>
      <c r="AR201" s="519"/>
      <c r="AS201" s="515"/>
      <c r="AT201" s="515"/>
      <c r="AU201" s="515"/>
      <c r="AV201" s="515"/>
      <c r="AW201" s="515"/>
      <c r="AX201" s="515"/>
      <c r="AY201" s="515"/>
      <c r="AZ201" s="515"/>
      <c r="BA201" s="515"/>
      <c r="BB201" s="515"/>
      <c r="BC201" s="643"/>
      <c r="BD201" s="515"/>
      <c r="BE201" s="515"/>
      <c r="BF201" s="515"/>
      <c r="BG201" s="515"/>
      <c r="BH201" s="631"/>
      <c r="BI201" s="515"/>
      <c r="BJ201" s="515"/>
      <c r="BK201" s="515"/>
      <c r="BL201" s="515"/>
      <c r="BM201" s="515"/>
      <c r="BN201" s="515"/>
      <c r="BO201" s="516"/>
    </row>
    <row r="202" spans="1:67" s="517" customFormat="1">
      <c r="A202"/>
      <c r="B202" s="107"/>
      <c r="C202" s="107"/>
      <c r="D202" s="107"/>
      <c r="E202" s="107"/>
      <c r="F202" s="107"/>
      <c r="G202"/>
      <c r="H202"/>
      <c r="I202" s="29"/>
      <c r="J202"/>
      <c r="K202" s="16"/>
      <c r="L202"/>
      <c r="M202" s="108"/>
      <c r="N202" s="102"/>
      <c r="O202" s="28"/>
      <c r="P202" s="103"/>
      <c r="Q202" s="102"/>
      <c r="R202" s="16"/>
      <c r="S202" s="104"/>
      <c r="T202" s="16"/>
      <c r="U202" s="104"/>
      <c r="V202" s="16"/>
      <c r="W202" s="104"/>
      <c r="X202" s="16"/>
      <c r="Y202" s="104"/>
      <c r="Z202" s="16"/>
      <c r="AA202" s="16"/>
      <c r="AB202" s="16"/>
      <c r="AC202" s="16"/>
      <c r="AD202" s="102"/>
      <c r="AE202" s="467"/>
      <c r="AF202" s="106"/>
      <c r="AG202" s="11"/>
      <c r="AH202" s="11"/>
      <c r="AI202" s="143"/>
      <c r="AJ202" s="105"/>
      <c r="AK202" s="519"/>
      <c r="AL202" s="519"/>
      <c r="AM202" s="519"/>
      <c r="AN202" s="519"/>
      <c r="AO202" s="519"/>
      <c r="AP202" s="519"/>
      <c r="AQ202" s="515"/>
      <c r="AR202" s="519"/>
      <c r="AS202" s="515"/>
      <c r="AT202" s="515"/>
      <c r="AU202" s="515"/>
      <c r="AV202" s="515"/>
      <c r="AW202" s="515"/>
      <c r="AX202" s="515"/>
      <c r="AY202" s="515"/>
      <c r="AZ202" s="515"/>
      <c r="BA202" s="515"/>
      <c r="BB202" s="515"/>
      <c r="BC202" s="643"/>
      <c r="BD202" s="515"/>
      <c r="BE202" s="515"/>
      <c r="BF202" s="515"/>
      <c r="BG202" s="515"/>
      <c r="BH202" s="631"/>
      <c r="BI202" s="515"/>
      <c r="BJ202" s="515"/>
      <c r="BK202" s="515"/>
      <c r="BL202" s="515"/>
      <c r="BM202" s="515"/>
      <c r="BN202" s="515"/>
      <c r="BO202" s="516"/>
    </row>
    <row r="203" spans="1:67" s="517" customFormat="1">
      <c r="A203"/>
      <c r="B203" s="107"/>
      <c r="C203" s="107"/>
      <c r="D203" s="107"/>
      <c r="E203" s="107"/>
      <c r="F203" s="107"/>
      <c r="G203"/>
      <c r="H203"/>
      <c r="I203" s="29"/>
      <c r="J203"/>
      <c r="K203" s="16"/>
      <c r="L203"/>
      <c r="M203" s="108"/>
      <c r="N203" s="102"/>
      <c r="O203" s="28"/>
      <c r="P203" s="103"/>
      <c r="Q203" s="102"/>
      <c r="R203" s="16"/>
      <c r="S203" s="104"/>
      <c r="T203" s="16"/>
      <c r="U203" s="104"/>
      <c r="V203" s="16"/>
      <c r="W203" s="104"/>
      <c r="X203" s="16"/>
      <c r="Y203" s="104"/>
      <c r="Z203" s="16"/>
      <c r="AA203" s="16"/>
      <c r="AB203" s="16"/>
      <c r="AC203" s="16"/>
      <c r="AD203" s="102"/>
      <c r="AE203" s="467"/>
      <c r="AF203" s="106"/>
      <c r="AG203" s="11"/>
      <c r="AH203" s="11"/>
      <c r="AI203" s="143"/>
      <c r="AJ203" s="105"/>
      <c r="AK203" s="519"/>
      <c r="AL203" s="519"/>
      <c r="AM203" s="519"/>
      <c r="AN203" s="519"/>
      <c r="AO203" s="519"/>
      <c r="AP203" s="519"/>
      <c r="AQ203" s="515"/>
      <c r="AR203" s="519"/>
      <c r="AS203" s="515"/>
      <c r="AT203" s="515"/>
      <c r="AU203" s="515"/>
      <c r="AV203" s="515"/>
      <c r="AW203" s="515"/>
      <c r="AX203" s="515"/>
      <c r="AY203" s="515"/>
      <c r="AZ203" s="515"/>
      <c r="BA203" s="515"/>
      <c r="BB203" s="515"/>
      <c r="BC203" s="643"/>
      <c r="BD203" s="515"/>
      <c r="BE203" s="515"/>
      <c r="BF203" s="515"/>
      <c r="BG203" s="515"/>
      <c r="BH203" s="631"/>
      <c r="BI203" s="515"/>
      <c r="BJ203" s="515"/>
      <c r="BK203" s="515"/>
      <c r="BL203" s="515"/>
      <c r="BM203" s="515"/>
      <c r="BN203" s="515"/>
      <c r="BO203" s="516"/>
    </row>
    <row r="204" spans="1:67" s="517" customFormat="1">
      <c r="A204"/>
      <c r="B204" s="107"/>
      <c r="C204" s="107"/>
      <c r="D204" s="107"/>
      <c r="E204" s="107"/>
      <c r="F204" s="107"/>
      <c r="G204"/>
      <c r="H204"/>
      <c r="I204" s="29"/>
      <c r="J204"/>
      <c r="K204" s="16"/>
      <c r="L204"/>
      <c r="M204" s="108"/>
      <c r="N204" s="102"/>
      <c r="O204" s="28"/>
      <c r="P204" s="103"/>
      <c r="Q204" s="102"/>
      <c r="R204" s="16"/>
      <c r="S204" s="104"/>
      <c r="T204" s="16"/>
      <c r="U204" s="104"/>
      <c r="V204" s="16"/>
      <c r="W204" s="104"/>
      <c r="X204" s="16"/>
      <c r="Y204" s="104"/>
      <c r="Z204" s="16"/>
      <c r="AA204" s="16"/>
      <c r="AB204" s="16"/>
      <c r="AC204" s="16"/>
      <c r="AD204" s="102"/>
      <c r="AE204" s="467"/>
      <c r="AF204" s="106"/>
      <c r="AG204" s="11"/>
      <c r="AH204" s="11"/>
      <c r="AI204" s="143"/>
      <c r="AJ204" s="105"/>
      <c r="AK204" s="519"/>
      <c r="AL204" s="519"/>
      <c r="AM204" s="519"/>
      <c r="AN204" s="519"/>
      <c r="AO204" s="519"/>
      <c r="AP204" s="519"/>
      <c r="AQ204" s="515"/>
      <c r="AR204" s="519"/>
      <c r="AS204" s="515"/>
      <c r="AT204" s="515"/>
      <c r="AU204" s="515"/>
      <c r="AV204" s="515"/>
      <c r="AW204" s="515"/>
      <c r="AX204" s="515"/>
      <c r="AY204" s="515"/>
      <c r="AZ204" s="515"/>
      <c r="BA204" s="515"/>
      <c r="BB204" s="515"/>
      <c r="BC204" s="643"/>
      <c r="BD204" s="515"/>
      <c r="BE204" s="515"/>
      <c r="BF204" s="515"/>
      <c r="BG204" s="515"/>
      <c r="BH204" s="631"/>
      <c r="BI204" s="515"/>
      <c r="BJ204" s="515"/>
      <c r="BK204" s="515"/>
      <c r="BL204" s="515"/>
      <c r="BM204" s="515"/>
      <c r="BN204" s="515"/>
      <c r="BO204" s="516"/>
    </row>
    <row r="205" spans="1:67" s="517" customFormat="1">
      <c r="A205"/>
      <c r="B205" s="107"/>
      <c r="C205" s="107"/>
      <c r="D205" s="107"/>
      <c r="E205" s="107"/>
      <c r="F205" s="107"/>
      <c r="G205"/>
      <c r="H205"/>
      <c r="I205" s="29"/>
      <c r="J205"/>
      <c r="K205" s="16"/>
      <c r="L205"/>
      <c r="M205" s="108"/>
      <c r="N205" s="102"/>
      <c r="O205" s="28"/>
      <c r="P205" s="103"/>
      <c r="Q205" s="102"/>
      <c r="R205" s="16"/>
      <c r="S205" s="104"/>
      <c r="T205" s="16"/>
      <c r="U205" s="104"/>
      <c r="V205" s="16"/>
      <c r="W205" s="104"/>
      <c r="X205" s="16"/>
      <c r="Y205" s="104"/>
      <c r="Z205" s="16"/>
      <c r="AA205" s="16"/>
      <c r="AB205" s="16"/>
      <c r="AC205" s="16"/>
      <c r="AD205" s="102"/>
      <c r="AE205" s="467"/>
      <c r="AF205" s="106"/>
      <c r="AG205" s="11"/>
      <c r="AH205" s="11"/>
      <c r="AI205" s="143"/>
      <c r="AJ205" s="105"/>
      <c r="AK205" s="519"/>
      <c r="AL205" s="519"/>
      <c r="AM205" s="519"/>
      <c r="AN205" s="519"/>
      <c r="AO205" s="519"/>
      <c r="AP205" s="519"/>
      <c r="AQ205" s="515"/>
      <c r="AR205" s="519"/>
      <c r="AS205" s="515"/>
      <c r="AT205" s="515"/>
      <c r="AU205" s="515"/>
      <c r="AV205" s="515"/>
      <c r="AW205" s="515"/>
      <c r="AX205" s="515"/>
      <c r="AY205" s="515"/>
      <c r="AZ205" s="515"/>
      <c r="BA205" s="515"/>
      <c r="BB205" s="515"/>
      <c r="BC205" s="643"/>
      <c r="BD205" s="515"/>
      <c r="BE205" s="515"/>
      <c r="BF205" s="515"/>
      <c r="BG205" s="515"/>
      <c r="BH205" s="631"/>
      <c r="BI205" s="515"/>
      <c r="BJ205" s="515"/>
      <c r="BK205" s="515"/>
      <c r="BL205" s="515"/>
      <c r="BM205" s="515"/>
      <c r="BN205" s="515"/>
      <c r="BO205" s="516"/>
    </row>
    <row r="206" spans="1:67" s="517" customFormat="1">
      <c r="A206"/>
      <c r="B206" s="107"/>
      <c r="C206" s="107"/>
      <c r="D206" s="107"/>
      <c r="E206" s="107"/>
      <c r="F206" s="107"/>
      <c r="G206"/>
      <c r="H206"/>
      <c r="I206" s="29"/>
      <c r="J206"/>
      <c r="K206" s="16"/>
      <c r="L206"/>
      <c r="M206" s="108"/>
      <c r="N206" s="102"/>
      <c r="O206" s="28"/>
      <c r="P206" s="103"/>
      <c r="Q206" s="102"/>
      <c r="R206" s="16"/>
      <c r="S206" s="104"/>
      <c r="T206" s="16"/>
      <c r="U206" s="104"/>
      <c r="V206" s="16"/>
      <c r="W206" s="104"/>
      <c r="X206" s="16"/>
      <c r="Y206" s="104"/>
      <c r="Z206" s="16"/>
      <c r="AA206" s="16"/>
      <c r="AB206" s="16"/>
      <c r="AC206" s="16"/>
      <c r="AD206" s="102"/>
      <c r="AE206" s="467"/>
      <c r="AF206" s="106"/>
      <c r="AG206" s="11"/>
      <c r="AH206" s="11"/>
      <c r="AI206" s="143"/>
      <c r="AJ206" s="105"/>
      <c r="AK206" s="519"/>
      <c r="AL206" s="519"/>
      <c r="AM206" s="519"/>
      <c r="AN206" s="519"/>
      <c r="AO206" s="519"/>
      <c r="AP206" s="519"/>
      <c r="AQ206" s="515"/>
      <c r="AR206" s="519"/>
      <c r="AS206" s="515"/>
      <c r="AT206" s="515"/>
      <c r="AU206" s="515"/>
      <c r="AV206" s="515"/>
      <c r="AW206" s="515"/>
      <c r="AX206" s="515"/>
      <c r="AY206" s="515"/>
      <c r="AZ206" s="515"/>
      <c r="BA206" s="515"/>
      <c r="BB206" s="515"/>
      <c r="BC206" s="643"/>
      <c r="BD206" s="515"/>
      <c r="BE206" s="515"/>
      <c r="BF206" s="515"/>
      <c r="BG206" s="515"/>
      <c r="BH206" s="631"/>
      <c r="BI206" s="515"/>
      <c r="BJ206" s="515"/>
      <c r="BK206" s="515"/>
      <c r="BL206" s="515"/>
      <c r="BM206" s="515"/>
      <c r="BN206" s="515"/>
      <c r="BO206" s="516"/>
    </row>
    <row r="207" spans="1:67" s="517" customFormat="1">
      <c r="A207"/>
      <c r="B207" s="107"/>
      <c r="C207" s="107"/>
      <c r="D207" s="107"/>
      <c r="E207" s="107"/>
      <c r="F207" s="107"/>
      <c r="G207"/>
      <c r="H207"/>
      <c r="I207" s="29"/>
      <c r="J207"/>
      <c r="K207" s="16"/>
      <c r="L207"/>
      <c r="M207" s="108"/>
      <c r="N207" s="102"/>
      <c r="O207" s="28"/>
      <c r="P207" s="103"/>
      <c r="Q207" s="102"/>
      <c r="R207" s="16"/>
      <c r="S207" s="104"/>
      <c r="T207" s="16"/>
      <c r="U207" s="104"/>
      <c r="V207" s="16"/>
      <c r="W207" s="104"/>
      <c r="X207" s="16"/>
      <c r="Y207" s="104"/>
      <c r="Z207" s="16"/>
      <c r="AA207" s="16"/>
      <c r="AB207" s="16"/>
      <c r="AC207" s="16"/>
      <c r="AD207" s="102"/>
      <c r="AE207" s="467"/>
      <c r="AF207" s="106"/>
      <c r="AG207" s="11"/>
      <c r="AH207" s="11"/>
      <c r="AI207" s="143"/>
      <c r="AJ207" s="105"/>
      <c r="AK207" s="519"/>
      <c r="AL207" s="519"/>
      <c r="AM207" s="519"/>
      <c r="AN207" s="519"/>
      <c r="AO207" s="519"/>
      <c r="AP207" s="519"/>
      <c r="AQ207" s="515"/>
      <c r="AR207" s="519"/>
      <c r="AS207" s="515"/>
      <c r="AT207" s="515"/>
      <c r="AU207" s="515"/>
      <c r="AV207" s="515"/>
      <c r="AW207" s="515"/>
      <c r="AX207" s="515"/>
      <c r="AY207" s="515"/>
      <c r="AZ207" s="515"/>
      <c r="BA207" s="515"/>
      <c r="BB207" s="515"/>
      <c r="BC207" s="643"/>
      <c r="BD207" s="515"/>
      <c r="BE207" s="515"/>
      <c r="BF207" s="515"/>
      <c r="BG207" s="515"/>
      <c r="BH207" s="631"/>
      <c r="BI207" s="515"/>
      <c r="BJ207" s="515"/>
      <c r="BK207" s="515"/>
      <c r="BL207" s="515"/>
      <c r="BM207" s="515"/>
      <c r="BN207" s="515"/>
      <c r="BO207" s="516"/>
    </row>
    <row r="208" spans="1:67" s="517" customFormat="1">
      <c r="A208"/>
      <c r="B208" s="107"/>
      <c r="C208" s="107"/>
      <c r="D208" s="107"/>
      <c r="E208" s="107"/>
      <c r="F208" s="107"/>
      <c r="G208"/>
      <c r="H208"/>
      <c r="I208" s="29"/>
      <c r="J208"/>
      <c r="K208" s="16"/>
      <c r="L208"/>
      <c r="M208" s="108"/>
      <c r="N208" s="102"/>
      <c r="O208" s="28"/>
      <c r="P208" s="103"/>
      <c r="Q208" s="102"/>
      <c r="R208" s="16"/>
      <c r="S208" s="104"/>
      <c r="T208" s="16"/>
      <c r="U208" s="104"/>
      <c r="V208" s="16"/>
      <c r="W208" s="104"/>
      <c r="X208" s="16"/>
      <c r="Y208" s="104"/>
      <c r="Z208" s="16"/>
      <c r="AA208" s="16"/>
      <c r="AB208" s="16"/>
      <c r="AC208" s="16"/>
      <c r="AD208" s="102"/>
      <c r="AE208" s="467"/>
      <c r="AF208" s="106"/>
      <c r="AG208" s="11"/>
      <c r="AH208" s="11"/>
      <c r="AI208" s="143"/>
      <c r="AJ208" s="105"/>
      <c r="AK208" s="519"/>
      <c r="AL208" s="519"/>
      <c r="AM208" s="519"/>
      <c r="AN208" s="519"/>
      <c r="AO208" s="519"/>
      <c r="AP208" s="519"/>
      <c r="AQ208" s="515"/>
      <c r="AR208" s="519"/>
      <c r="AS208" s="515"/>
      <c r="AT208" s="515"/>
      <c r="AU208" s="515"/>
      <c r="AV208" s="515"/>
      <c r="AW208" s="515"/>
      <c r="AX208" s="515"/>
      <c r="AY208" s="515"/>
      <c r="AZ208" s="515"/>
      <c r="BA208" s="515"/>
      <c r="BB208" s="515"/>
      <c r="BC208" s="643"/>
      <c r="BD208" s="515"/>
      <c r="BE208" s="515"/>
      <c r="BF208" s="515"/>
      <c r="BG208" s="515"/>
      <c r="BH208" s="631"/>
      <c r="BI208" s="515"/>
      <c r="BJ208" s="515"/>
      <c r="BK208" s="515"/>
      <c r="BL208" s="515"/>
      <c r="BM208" s="515"/>
      <c r="BN208" s="515"/>
      <c r="BO208" s="516"/>
    </row>
    <row r="209" spans="1:67" s="517" customFormat="1">
      <c r="A209"/>
      <c r="B209" s="107"/>
      <c r="C209" s="107"/>
      <c r="D209" s="107"/>
      <c r="E209" s="107"/>
      <c r="F209" s="107"/>
      <c r="G209"/>
      <c r="H209"/>
      <c r="I209" s="29"/>
      <c r="J209"/>
      <c r="K209" s="16"/>
      <c r="L209"/>
      <c r="M209" s="108"/>
      <c r="N209" s="102"/>
      <c r="O209" s="28"/>
      <c r="P209" s="103"/>
      <c r="Q209" s="102"/>
      <c r="R209" s="16"/>
      <c r="S209" s="104"/>
      <c r="T209" s="16"/>
      <c r="U209" s="104"/>
      <c r="V209" s="16"/>
      <c r="W209" s="104"/>
      <c r="X209" s="16"/>
      <c r="Y209" s="104"/>
      <c r="Z209" s="16"/>
      <c r="AA209" s="16"/>
      <c r="AB209" s="16"/>
      <c r="AC209" s="16"/>
      <c r="AD209" s="102"/>
      <c r="AE209" s="467"/>
      <c r="AF209" s="106"/>
      <c r="AG209" s="11"/>
      <c r="AH209" s="11"/>
      <c r="AI209" s="143"/>
      <c r="AJ209" s="105"/>
      <c r="AK209" s="519"/>
      <c r="AL209" s="519"/>
      <c r="AM209" s="519"/>
      <c r="AN209" s="519"/>
      <c r="AO209" s="519"/>
      <c r="AP209" s="519"/>
      <c r="AQ209" s="515"/>
      <c r="AR209" s="519"/>
      <c r="AS209" s="515"/>
      <c r="AT209" s="515"/>
      <c r="AU209" s="515"/>
      <c r="AV209" s="515"/>
      <c r="AW209" s="515"/>
      <c r="AX209" s="515"/>
      <c r="AY209" s="515"/>
      <c r="AZ209" s="515"/>
      <c r="BA209" s="515"/>
      <c r="BB209" s="515"/>
      <c r="BC209" s="643"/>
      <c r="BD209" s="515"/>
      <c r="BE209" s="515"/>
      <c r="BF209" s="515"/>
      <c r="BG209" s="515"/>
      <c r="BH209" s="631"/>
      <c r="BI209" s="515"/>
      <c r="BJ209" s="515"/>
      <c r="BK209" s="515"/>
      <c r="BL209" s="515"/>
      <c r="BM209" s="515"/>
      <c r="BN209" s="515"/>
      <c r="BO209" s="516"/>
    </row>
    <row r="210" spans="1:67" s="517" customFormat="1">
      <c r="A210"/>
      <c r="B210" s="107"/>
      <c r="C210" s="107"/>
      <c r="D210" s="107"/>
      <c r="E210" s="107"/>
      <c r="F210" s="107"/>
      <c r="G210"/>
      <c r="H210"/>
      <c r="I210" s="29"/>
      <c r="J210"/>
      <c r="K210" s="16"/>
      <c r="L210"/>
      <c r="M210" s="108"/>
      <c r="N210" s="102"/>
      <c r="O210" s="28"/>
      <c r="P210" s="103"/>
      <c r="Q210" s="102"/>
      <c r="R210" s="16"/>
      <c r="S210" s="104"/>
      <c r="T210" s="16"/>
      <c r="U210" s="104"/>
      <c r="V210" s="16"/>
      <c r="W210" s="104"/>
      <c r="X210" s="16"/>
      <c r="Y210" s="104"/>
      <c r="Z210" s="16"/>
      <c r="AA210" s="16"/>
      <c r="AB210" s="16"/>
      <c r="AC210" s="16"/>
      <c r="AD210" s="102"/>
      <c r="AE210" s="467"/>
      <c r="AF210" s="106"/>
      <c r="AG210" s="11"/>
      <c r="AH210" s="11"/>
      <c r="AI210" s="143"/>
      <c r="AJ210" s="105"/>
      <c r="AK210" s="519"/>
      <c r="AL210" s="519"/>
      <c r="AM210" s="519"/>
      <c r="AN210" s="519"/>
      <c r="AO210" s="519"/>
      <c r="AP210" s="519"/>
      <c r="AQ210" s="515"/>
      <c r="AR210" s="519"/>
      <c r="AS210" s="515"/>
      <c r="AT210" s="515"/>
      <c r="AU210" s="515"/>
      <c r="AV210" s="515"/>
      <c r="AW210" s="515"/>
      <c r="AX210" s="515"/>
      <c r="AY210" s="515"/>
      <c r="AZ210" s="515"/>
      <c r="BA210" s="515"/>
      <c r="BB210" s="515"/>
      <c r="BC210" s="643"/>
      <c r="BD210" s="515"/>
      <c r="BE210" s="515"/>
      <c r="BF210" s="515"/>
      <c r="BG210" s="515"/>
      <c r="BH210" s="631"/>
      <c r="BI210" s="515"/>
      <c r="BJ210" s="515"/>
      <c r="BK210" s="515"/>
      <c r="BL210" s="515"/>
      <c r="BM210" s="515"/>
      <c r="BN210" s="515"/>
      <c r="BO210" s="516"/>
    </row>
    <row r="211" spans="1:67" s="517" customFormat="1">
      <c r="A211"/>
      <c r="B211" s="107"/>
      <c r="C211" s="107"/>
      <c r="D211" s="107"/>
      <c r="E211" s="107"/>
      <c r="F211" s="107"/>
      <c r="G211"/>
      <c r="H211"/>
      <c r="I211" s="29"/>
      <c r="J211"/>
      <c r="K211" s="16"/>
      <c r="L211"/>
      <c r="M211" s="108"/>
      <c r="N211" s="102"/>
      <c r="O211" s="28"/>
      <c r="P211" s="103"/>
      <c r="Q211" s="102"/>
      <c r="R211" s="16"/>
      <c r="S211" s="104"/>
      <c r="T211" s="16"/>
      <c r="U211" s="104"/>
      <c r="V211" s="16"/>
      <c r="W211" s="104"/>
      <c r="X211" s="16"/>
      <c r="Y211" s="104"/>
      <c r="Z211" s="16"/>
      <c r="AA211" s="16"/>
      <c r="AB211" s="16"/>
      <c r="AC211" s="16"/>
      <c r="AD211" s="102"/>
      <c r="AE211" s="467"/>
      <c r="AF211" s="106"/>
      <c r="AG211" s="11"/>
      <c r="AH211" s="11"/>
      <c r="AI211" s="143"/>
      <c r="AJ211" s="105"/>
      <c r="AK211" s="519"/>
      <c r="AL211" s="519"/>
      <c r="AM211" s="519"/>
      <c r="AN211" s="519"/>
      <c r="AO211" s="519"/>
      <c r="AP211" s="519"/>
      <c r="AQ211" s="515"/>
      <c r="AR211" s="519"/>
      <c r="AS211" s="515"/>
      <c r="AT211" s="515"/>
      <c r="AU211" s="515"/>
      <c r="AV211" s="515"/>
      <c r="AW211" s="515"/>
      <c r="AX211" s="515"/>
      <c r="AY211" s="515"/>
      <c r="AZ211" s="515"/>
      <c r="BA211" s="515"/>
      <c r="BB211" s="515"/>
      <c r="BC211" s="643"/>
      <c r="BD211" s="515"/>
      <c r="BE211" s="515"/>
      <c r="BF211" s="515"/>
      <c r="BG211" s="515"/>
      <c r="BH211" s="631"/>
      <c r="BI211" s="515"/>
      <c r="BJ211" s="515"/>
      <c r="BK211" s="515"/>
      <c r="BL211" s="515"/>
      <c r="BM211" s="515"/>
      <c r="BN211" s="515"/>
      <c r="BO211" s="516"/>
    </row>
    <row r="212" spans="1:67" s="517" customFormat="1">
      <c r="A212"/>
      <c r="B212" s="107"/>
      <c r="C212" s="107"/>
      <c r="D212" s="107"/>
      <c r="E212" s="107"/>
      <c r="F212" s="107"/>
      <c r="G212"/>
      <c r="H212"/>
      <c r="I212" s="29"/>
      <c r="J212"/>
      <c r="K212" s="16"/>
      <c r="L212"/>
      <c r="M212" s="108"/>
      <c r="N212" s="102"/>
      <c r="O212" s="28"/>
      <c r="P212" s="103"/>
      <c r="Q212" s="102"/>
      <c r="R212" s="16"/>
      <c r="S212" s="104"/>
      <c r="T212" s="16"/>
      <c r="U212" s="104"/>
      <c r="V212" s="16"/>
      <c r="W212" s="104"/>
      <c r="X212" s="16"/>
      <c r="Y212" s="104"/>
      <c r="Z212" s="16"/>
      <c r="AA212" s="16"/>
      <c r="AB212" s="16"/>
      <c r="AC212" s="16"/>
      <c r="AD212" s="102"/>
      <c r="AE212" s="467"/>
      <c r="AF212" s="106"/>
      <c r="AG212" s="11"/>
      <c r="AH212" s="11"/>
      <c r="AI212" s="143"/>
      <c r="AJ212" s="105"/>
      <c r="AK212" s="519"/>
      <c r="AL212" s="519"/>
      <c r="AM212" s="519"/>
      <c r="AN212" s="519"/>
      <c r="AO212" s="519"/>
      <c r="AP212" s="519"/>
      <c r="AQ212" s="515"/>
      <c r="AR212" s="519"/>
      <c r="AS212" s="515"/>
      <c r="AT212" s="515"/>
      <c r="AU212" s="515"/>
      <c r="AV212" s="515"/>
      <c r="AW212" s="515"/>
      <c r="AX212" s="515"/>
      <c r="AY212" s="515"/>
      <c r="AZ212" s="515"/>
      <c r="BA212" s="515"/>
      <c r="BB212" s="515"/>
      <c r="BC212" s="643"/>
      <c r="BD212" s="515"/>
      <c r="BE212" s="515"/>
      <c r="BF212" s="515"/>
      <c r="BG212" s="515"/>
      <c r="BH212" s="631"/>
      <c r="BI212" s="515"/>
      <c r="BJ212" s="515"/>
      <c r="BK212" s="515"/>
      <c r="BL212" s="515"/>
      <c r="BM212" s="515"/>
      <c r="BN212" s="515"/>
      <c r="BO212" s="516"/>
    </row>
    <row r="213" spans="1:67" s="517" customFormat="1">
      <c r="A213"/>
      <c r="B213" s="107"/>
      <c r="C213" s="107"/>
      <c r="D213" s="107"/>
      <c r="E213" s="107"/>
      <c r="F213" s="107"/>
      <c r="G213"/>
      <c r="H213"/>
      <c r="I213" s="29"/>
      <c r="J213"/>
      <c r="K213" s="16"/>
      <c r="L213"/>
      <c r="M213" s="108"/>
      <c r="N213" s="102"/>
      <c r="O213" s="28"/>
      <c r="P213" s="103"/>
      <c r="Q213" s="102"/>
      <c r="R213" s="16"/>
      <c r="S213" s="104"/>
      <c r="T213" s="16"/>
      <c r="U213" s="104"/>
      <c r="V213" s="16"/>
      <c r="W213" s="104"/>
      <c r="X213" s="16"/>
      <c r="Y213" s="104"/>
      <c r="Z213" s="16"/>
      <c r="AA213" s="16"/>
      <c r="AB213" s="16"/>
      <c r="AC213" s="16"/>
      <c r="AD213" s="102"/>
      <c r="AE213" s="467"/>
      <c r="AF213" s="106"/>
      <c r="AG213" s="11"/>
      <c r="AH213" s="11"/>
      <c r="AI213" s="143"/>
      <c r="AJ213" s="105"/>
      <c r="AK213" s="519"/>
      <c r="AL213" s="519"/>
      <c r="AM213" s="519"/>
      <c r="AN213" s="519"/>
      <c r="AO213" s="519"/>
      <c r="AP213" s="519"/>
      <c r="AQ213" s="515"/>
      <c r="AR213" s="519"/>
      <c r="AS213" s="515"/>
      <c r="AT213" s="515"/>
      <c r="AU213" s="515"/>
      <c r="AV213" s="515"/>
      <c r="AW213" s="515"/>
      <c r="AX213" s="515"/>
      <c r="AY213" s="515"/>
      <c r="AZ213" s="515"/>
      <c r="BA213" s="515"/>
      <c r="BB213" s="515"/>
      <c r="BC213" s="643"/>
      <c r="BD213" s="515"/>
      <c r="BE213" s="515"/>
      <c r="BF213" s="515"/>
      <c r="BG213" s="515"/>
      <c r="BH213" s="631"/>
      <c r="BI213" s="515"/>
      <c r="BJ213" s="515"/>
      <c r="BK213" s="515"/>
      <c r="BL213" s="515"/>
      <c r="BM213" s="515"/>
      <c r="BN213" s="515"/>
      <c r="BO213" s="516"/>
    </row>
    <row r="214" spans="1:67" s="517" customFormat="1">
      <c r="A214"/>
      <c r="B214" s="107"/>
      <c r="C214" s="107"/>
      <c r="D214" s="107"/>
      <c r="E214" s="107"/>
      <c r="F214" s="107"/>
      <c r="G214"/>
      <c r="H214"/>
      <c r="I214" s="29"/>
      <c r="J214"/>
      <c r="K214" s="16"/>
      <c r="L214"/>
      <c r="M214" s="108"/>
      <c r="N214" s="102"/>
      <c r="O214" s="28"/>
      <c r="P214" s="103"/>
      <c r="Q214" s="102"/>
      <c r="R214" s="16"/>
      <c r="S214" s="104"/>
      <c r="T214" s="16"/>
      <c r="U214" s="104"/>
      <c r="V214" s="16"/>
      <c r="W214" s="104"/>
      <c r="X214" s="16"/>
      <c r="Y214" s="104"/>
      <c r="Z214" s="16"/>
      <c r="AA214" s="16"/>
      <c r="AB214" s="16"/>
      <c r="AC214" s="16"/>
      <c r="AD214" s="102"/>
      <c r="AE214" s="467"/>
      <c r="AF214" s="106"/>
      <c r="AG214" s="11"/>
      <c r="AH214" s="11"/>
      <c r="AI214" s="143"/>
      <c r="AJ214" s="105"/>
      <c r="AK214" s="519"/>
      <c r="AL214" s="519"/>
      <c r="AM214" s="519"/>
      <c r="AN214" s="519"/>
      <c r="AO214" s="519"/>
      <c r="AP214" s="519"/>
      <c r="AQ214" s="515"/>
      <c r="AR214" s="519"/>
      <c r="AS214" s="515"/>
      <c r="AT214" s="515"/>
      <c r="AU214" s="515"/>
      <c r="AV214" s="515"/>
      <c r="AW214" s="515"/>
      <c r="AX214" s="515"/>
      <c r="AY214" s="515"/>
      <c r="AZ214" s="515"/>
      <c r="BA214" s="515"/>
      <c r="BB214" s="515"/>
      <c r="BC214" s="643"/>
      <c r="BD214" s="515"/>
      <c r="BE214" s="515"/>
      <c r="BF214" s="515"/>
      <c r="BG214" s="515"/>
      <c r="BH214" s="631"/>
      <c r="BI214" s="515"/>
      <c r="BJ214" s="515"/>
      <c r="BK214" s="515"/>
      <c r="BL214" s="515"/>
      <c r="BM214" s="515"/>
      <c r="BN214" s="515"/>
      <c r="BO214" s="516"/>
    </row>
    <row r="215" spans="1:67" s="517" customFormat="1">
      <c r="A215"/>
      <c r="B215" s="107"/>
      <c r="C215" s="107"/>
      <c r="D215" s="107"/>
      <c r="E215" s="107"/>
      <c r="F215" s="107"/>
      <c r="G215"/>
      <c r="H215"/>
      <c r="I215" s="29"/>
      <c r="J215"/>
      <c r="K215" s="16"/>
      <c r="L215"/>
      <c r="M215" s="108"/>
      <c r="N215" s="102"/>
      <c r="O215" s="28"/>
      <c r="P215" s="103"/>
      <c r="Q215" s="102"/>
      <c r="R215" s="16"/>
      <c r="S215" s="104"/>
      <c r="T215" s="16"/>
      <c r="U215" s="104"/>
      <c r="V215" s="16"/>
      <c r="W215" s="104"/>
      <c r="X215" s="16"/>
      <c r="Y215" s="104"/>
      <c r="Z215" s="16"/>
      <c r="AA215" s="16"/>
      <c r="AB215" s="16"/>
      <c r="AC215" s="16"/>
      <c r="AD215" s="102"/>
      <c r="AE215" s="467"/>
      <c r="AF215" s="106"/>
      <c r="AG215" s="11"/>
      <c r="AH215" s="11"/>
      <c r="AI215" s="143"/>
      <c r="AJ215" s="105"/>
      <c r="AK215" s="519"/>
      <c r="AL215" s="519"/>
      <c r="AM215" s="519"/>
      <c r="AN215" s="519"/>
      <c r="AO215" s="519"/>
      <c r="AP215" s="519"/>
      <c r="AQ215" s="515"/>
      <c r="AR215" s="519"/>
      <c r="AS215" s="515"/>
      <c r="AT215" s="515"/>
      <c r="AU215" s="515"/>
      <c r="AV215" s="515"/>
      <c r="AW215" s="515"/>
      <c r="AX215" s="515"/>
      <c r="AY215" s="515"/>
      <c r="AZ215" s="515"/>
      <c r="BA215" s="515"/>
      <c r="BB215" s="515"/>
      <c r="BC215" s="643"/>
      <c r="BD215" s="515"/>
      <c r="BE215" s="515"/>
      <c r="BF215" s="515"/>
      <c r="BG215" s="515"/>
      <c r="BH215" s="631"/>
      <c r="BI215" s="515"/>
      <c r="BJ215" s="515"/>
      <c r="BK215" s="515"/>
      <c r="BL215" s="515"/>
      <c r="BM215" s="515"/>
      <c r="BN215" s="515"/>
      <c r="BO215" s="516"/>
    </row>
    <row r="216" spans="1:67" s="517" customFormat="1">
      <c r="A216"/>
      <c r="B216" s="107"/>
      <c r="C216" s="107"/>
      <c r="D216" s="107"/>
      <c r="E216" s="107"/>
      <c r="F216" s="107"/>
      <c r="G216"/>
      <c r="H216"/>
      <c r="I216" s="29"/>
      <c r="J216"/>
      <c r="K216" s="16"/>
      <c r="L216"/>
      <c r="M216" s="108"/>
      <c r="N216" s="102"/>
      <c r="O216" s="28"/>
      <c r="P216" s="103"/>
      <c r="Q216" s="102"/>
      <c r="R216" s="16"/>
      <c r="S216" s="104"/>
      <c r="T216" s="16"/>
      <c r="U216" s="104"/>
      <c r="V216" s="16"/>
      <c r="W216" s="104"/>
      <c r="X216" s="16"/>
      <c r="Y216" s="104"/>
      <c r="Z216" s="16"/>
      <c r="AA216" s="16"/>
      <c r="AB216" s="16"/>
      <c r="AC216" s="16"/>
      <c r="AD216" s="102"/>
      <c r="AE216" s="467"/>
      <c r="AF216" s="106"/>
      <c r="AG216" s="11"/>
      <c r="AH216" s="11"/>
      <c r="AI216" s="143"/>
      <c r="AJ216" s="105"/>
      <c r="AK216" s="519"/>
      <c r="AL216" s="519"/>
      <c r="AM216" s="519"/>
      <c r="AN216" s="519"/>
      <c r="AO216" s="519"/>
      <c r="AP216" s="519"/>
      <c r="AQ216" s="515"/>
      <c r="AR216" s="519"/>
      <c r="AS216" s="515"/>
      <c r="AT216" s="515"/>
      <c r="AU216" s="515"/>
      <c r="AV216" s="515"/>
      <c r="AW216" s="515"/>
      <c r="AX216" s="515"/>
      <c r="AY216" s="515"/>
      <c r="AZ216" s="515"/>
      <c r="BA216" s="515"/>
      <c r="BB216" s="515"/>
      <c r="BC216" s="643"/>
      <c r="BD216" s="515"/>
      <c r="BE216" s="515"/>
      <c r="BF216" s="515"/>
      <c r="BG216" s="515"/>
      <c r="BH216" s="631"/>
      <c r="BI216" s="515"/>
      <c r="BJ216" s="515"/>
      <c r="BK216" s="515"/>
      <c r="BL216" s="515"/>
      <c r="BM216" s="515"/>
      <c r="BN216" s="515"/>
      <c r="BO216" s="516"/>
    </row>
    <row r="217" spans="1:67" s="517" customFormat="1">
      <c r="A217"/>
      <c r="B217" s="107"/>
      <c r="C217" s="107"/>
      <c r="D217" s="107"/>
      <c r="E217" s="107"/>
      <c r="F217" s="107"/>
      <c r="G217"/>
      <c r="H217"/>
      <c r="I217" s="29"/>
      <c r="J217"/>
      <c r="K217" s="16"/>
      <c r="L217"/>
      <c r="M217" s="108"/>
      <c r="N217" s="102"/>
      <c r="O217" s="28"/>
      <c r="P217" s="103"/>
      <c r="Q217" s="102"/>
      <c r="R217" s="16"/>
      <c r="S217" s="104"/>
      <c r="T217" s="16"/>
      <c r="U217" s="104"/>
      <c r="V217" s="16"/>
      <c r="W217" s="104"/>
      <c r="X217" s="16"/>
      <c r="Y217" s="104"/>
      <c r="Z217" s="16"/>
      <c r="AA217" s="16"/>
      <c r="AB217" s="16"/>
      <c r="AC217" s="16"/>
      <c r="AD217" s="102"/>
      <c r="AE217" s="467"/>
      <c r="AF217" s="106"/>
      <c r="AG217" s="11"/>
      <c r="AH217" s="11"/>
      <c r="AI217" s="143"/>
      <c r="AJ217" s="105"/>
      <c r="AK217" s="519"/>
      <c r="AL217" s="519"/>
      <c r="AM217" s="519"/>
      <c r="AN217" s="519"/>
      <c r="AO217" s="519"/>
      <c r="AP217" s="519"/>
      <c r="AQ217" s="515"/>
      <c r="AR217" s="519"/>
      <c r="AS217" s="515"/>
      <c r="AT217" s="515"/>
      <c r="AU217" s="515"/>
      <c r="AV217" s="515"/>
      <c r="AW217" s="515"/>
      <c r="AX217" s="515"/>
      <c r="AY217" s="515"/>
      <c r="AZ217" s="515"/>
      <c r="BA217" s="515"/>
      <c r="BB217" s="515"/>
      <c r="BC217" s="643"/>
      <c r="BD217" s="515"/>
      <c r="BE217" s="515"/>
      <c r="BF217" s="515"/>
      <c r="BG217" s="515"/>
      <c r="BH217" s="631"/>
      <c r="BI217" s="515"/>
      <c r="BJ217" s="515"/>
      <c r="BK217" s="515"/>
      <c r="BL217" s="515"/>
      <c r="BM217" s="515"/>
      <c r="BN217" s="515"/>
      <c r="BO217" s="516"/>
    </row>
    <row r="218" spans="1:67" s="517" customFormat="1">
      <c r="A218"/>
      <c r="B218" s="107"/>
      <c r="C218" s="107"/>
      <c r="D218" s="107"/>
      <c r="E218" s="107"/>
      <c r="F218" s="107"/>
      <c r="G218"/>
      <c r="H218"/>
      <c r="I218" s="29"/>
      <c r="J218"/>
      <c r="K218" s="16"/>
      <c r="L218"/>
      <c r="M218" s="108"/>
      <c r="N218" s="102"/>
      <c r="O218" s="28"/>
      <c r="P218" s="103"/>
      <c r="Q218" s="102"/>
      <c r="R218" s="16"/>
      <c r="S218" s="104"/>
      <c r="T218" s="16"/>
      <c r="U218" s="104"/>
      <c r="V218" s="16"/>
      <c r="W218" s="104"/>
      <c r="X218" s="16"/>
      <c r="Y218" s="104"/>
      <c r="Z218" s="16"/>
      <c r="AA218" s="16"/>
      <c r="AB218" s="16"/>
      <c r="AC218" s="16"/>
      <c r="AD218" s="102"/>
      <c r="AE218" s="467"/>
      <c r="AF218" s="106"/>
      <c r="AG218" s="11"/>
      <c r="AH218" s="11"/>
      <c r="AI218" s="143"/>
      <c r="AJ218" s="105"/>
      <c r="AK218" s="519"/>
      <c r="AL218" s="519"/>
      <c r="AM218" s="519"/>
      <c r="AN218" s="519"/>
      <c r="AO218" s="519"/>
      <c r="AP218" s="519"/>
      <c r="AQ218" s="515"/>
      <c r="AR218" s="519"/>
      <c r="AS218" s="515"/>
      <c r="AT218" s="515"/>
      <c r="AU218" s="515"/>
      <c r="AV218" s="515"/>
      <c r="AW218" s="515"/>
      <c r="AX218" s="515"/>
      <c r="AY218" s="515"/>
      <c r="AZ218" s="515"/>
      <c r="BA218" s="515"/>
      <c r="BB218" s="515"/>
      <c r="BC218" s="643"/>
      <c r="BD218" s="515"/>
      <c r="BE218" s="515"/>
      <c r="BF218" s="515"/>
      <c r="BG218" s="515"/>
      <c r="BH218" s="631"/>
      <c r="BI218" s="515"/>
      <c r="BJ218" s="515"/>
      <c r="BK218" s="515"/>
      <c r="BL218" s="515"/>
      <c r="BM218" s="515"/>
      <c r="BN218" s="515"/>
      <c r="BO218" s="516"/>
    </row>
    <row r="219" spans="1:67" s="517" customFormat="1">
      <c r="A219"/>
      <c r="B219" s="107"/>
      <c r="C219" s="107"/>
      <c r="D219" s="107"/>
      <c r="E219" s="107"/>
      <c r="F219" s="107"/>
      <c r="G219"/>
      <c r="H219"/>
      <c r="I219" s="29"/>
      <c r="J219"/>
      <c r="K219" s="16"/>
      <c r="L219"/>
      <c r="M219" s="108"/>
      <c r="N219" s="102"/>
      <c r="O219" s="28"/>
      <c r="P219" s="103"/>
      <c r="Q219" s="102"/>
      <c r="R219" s="16"/>
      <c r="S219" s="104"/>
      <c r="T219" s="16"/>
      <c r="U219" s="104"/>
      <c r="V219" s="16"/>
      <c r="W219" s="104"/>
      <c r="X219" s="16"/>
      <c r="Y219" s="104"/>
      <c r="Z219" s="16"/>
      <c r="AA219" s="16"/>
      <c r="AB219" s="16"/>
      <c r="AC219" s="16"/>
      <c r="AD219" s="102"/>
      <c r="AE219" s="467"/>
      <c r="AF219" s="106"/>
      <c r="AG219" s="11"/>
      <c r="AH219" s="11"/>
      <c r="AI219" s="143"/>
      <c r="AJ219" s="105"/>
      <c r="AK219" s="519"/>
      <c r="AL219" s="519"/>
      <c r="AM219" s="519"/>
      <c r="AN219" s="519"/>
      <c r="AO219" s="519"/>
      <c r="AP219" s="519"/>
      <c r="AQ219" s="515"/>
      <c r="AR219" s="519"/>
      <c r="AS219" s="515"/>
      <c r="AT219" s="515"/>
      <c r="AU219" s="515"/>
      <c r="AV219" s="515"/>
      <c r="AW219" s="515"/>
      <c r="AX219" s="515"/>
      <c r="AY219" s="515"/>
      <c r="AZ219" s="515"/>
      <c r="BA219" s="515"/>
      <c r="BB219" s="515"/>
      <c r="BC219" s="643"/>
      <c r="BD219" s="515"/>
      <c r="BE219" s="515"/>
      <c r="BF219" s="515"/>
      <c r="BG219" s="515"/>
      <c r="BH219" s="631"/>
      <c r="BI219" s="515"/>
      <c r="BJ219" s="515"/>
      <c r="BK219" s="515"/>
      <c r="BL219" s="515"/>
      <c r="BM219" s="515"/>
      <c r="BN219" s="515"/>
      <c r="BO219" s="516"/>
    </row>
    <row r="220" spans="1:67" s="517" customFormat="1">
      <c r="A220"/>
      <c r="B220" s="107"/>
      <c r="C220" s="107"/>
      <c r="D220" s="107"/>
      <c r="E220" s="107"/>
      <c r="F220" s="107"/>
      <c r="G220"/>
      <c r="H220"/>
      <c r="I220" s="29"/>
      <c r="J220"/>
      <c r="K220" s="16"/>
      <c r="L220"/>
      <c r="M220" s="108"/>
      <c r="N220" s="102"/>
      <c r="O220" s="28"/>
      <c r="P220" s="103"/>
      <c r="Q220" s="102"/>
      <c r="R220" s="16"/>
      <c r="S220" s="104"/>
      <c r="T220" s="16"/>
      <c r="U220" s="104"/>
      <c r="V220" s="16"/>
      <c r="W220" s="104"/>
      <c r="X220" s="16"/>
      <c r="Y220" s="104"/>
      <c r="Z220" s="16"/>
      <c r="AA220" s="16"/>
      <c r="AB220" s="16"/>
      <c r="AC220" s="16"/>
      <c r="AD220" s="102"/>
      <c r="AE220" s="467"/>
      <c r="AF220" s="106"/>
      <c r="AG220" s="11"/>
      <c r="AH220" s="11"/>
      <c r="AI220" s="143"/>
      <c r="AJ220" s="105"/>
      <c r="AK220" s="519"/>
      <c r="AL220" s="519"/>
      <c r="AM220" s="519"/>
      <c r="AN220" s="519"/>
      <c r="AO220" s="519"/>
      <c r="AP220" s="519"/>
      <c r="AQ220" s="515"/>
      <c r="AR220" s="519"/>
      <c r="AS220" s="515"/>
      <c r="AT220" s="515"/>
      <c r="AU220" s="515"/>
      <c r="AV220" s="515"/>
      <c r="AW220" s="515"/>
      <c r="AX220" s="515"/>
      <c r="AY220" s="515"/>
      <c r="AZ220" s="515"/>
      <c r="BA220" s="515"/>
      <c r="BB220" s="515"/>
      <c r="BC220" s="643"/>
      <c r="BD220" s="515"/>
      <c r="BE220" s="515"/>
      <c r="BF220" s="515"/>
      <c r="BG220" s="515"/>
      <c r="BH220" s="631"/>
      <c r="BI220" s="515"/>
      <c r="BJ220" s="515"/>
      <c r="BK220" s="515"/>
      <c r="BL220" s="515"/>
      <c r="BM220" s="515"/>
      <c r="BN220" s="515"/>
      <c r="BO220" s="516"/>
    </row>
    <row r="221" spans="1:67" s="517" customFormat="1">
      <c r="A221"/>
      <c r="B221" s="107"/>
      <c r="C221" s="107"/>
      <c r="D221" s="107"/>
      <c r="E221" s="107"/>
      <c r="F221" s="107"/>
      <c r="G221"/>
      <c r="H221"/>
      <c r="I221" s="29"/>
      <c r="J221"/>
      <c r="K221" s="16"/>
      <c r="L221"/>
      <c r="M221" s="108"/>
      <c r="N221" s="102"/>
      <c r="O221" s="28"/>
      <c r="P221" s="103"/>
      <c r="Q221" s="102"/>
      <c r="R221" s="16"/>
      <c r="S221" s="104"/>
      <c r="T221" s="16"/>
      <c r="U221" s="104"/>
      <c r="V221" s="16"/>
      <c r="W221" s="104"/>
      <c r="X221" s="16"/>
      <c r="Y221" s="104"/>
      <c r="Z221" s="16"/>
      <c r="AA221" s="16"/>
      <c r="AB221" s="16"/>
      <c r="AC221" s="16"/>
      <c r="AD221" s="102"/>
      <c r="AE221" s="467"/>
      <c r="AF221" s="106"/>
      <c r="AG221" s="11"/>
      <c r="AH221" s="11"/>
      <c r="AI221" s="143"/>
      <c r="AJ221" s="105"/>
      <c r="AK221" s="519"/>
      <c r="AL221" s="519"/>
      <c r="AM221" s="519"/>
      <c r="AN221" s="519"/>
      <c r="AO221" s="519"/>
      <c r="AP221" s="519"/>
      <c r="AQ221" s="515"/>
      <c r="AR221" s="519"/>
      <c r="AS221" s="515"/>
      <c r="AT221" s="515"/>
      <c r="AU221" s="515"/>
      <c r="AV221" s="515"/>
      <c r="AW221" s="515"/>
      <c r="AX221" s="515"/>
      <c r="AY221" s="515"/>
      <c r="AZ221" s="515"/>
      <c r="BA221" s="515"/>
      <c r="BB221" s="515"/>
      <c r="BC221" s="643"/>
      <c r="BD221" s="515"/>
      <c r="BE221" s="515"/>
      <c r="BF221" s="515"/>
      <c r="BG221" s="515"/>
      <c r="BH221" s="631"/>
      <c r="BI221" s="515"/>
      <c r="BJ221" s="515"/>
      <c r="BK221" s="515"/>
      <c r="BL221" s="515"/>
      <c r="BM221" s="515"/>
      <c r="BN221" s="515"/>
      <c r="BO221" s="516"/>
    </row>
    <row r="222" spans="1:67" s="517" customFormat="1">
      <c r="A222"/>
      <c r="B222" s="107"/>
      <c r="C222" s="107"/>
      <c r="D222" s="107"/>
      <c r="E222" s="107"/>
      <c r="F222" s="107"/>
      <c r="G222"/>
      <c r="H222"/>
      <c r="I222" s="29"/>
      <c r="J222"/>
      <c r="K222" s="16"/>
      <c r="L222"/>
      <c r="M222" s="108"/>
      <c r="N222" s="102"/>
      <c r="O222" s="28"/>
      <c r="P222" s="103"/>
      <c r="Q222" s="102"/>
      <c r="R222" s="16"/>
      <c r="S222" s="104"/>
      <c r="T222" s="16"/>
      <c r="U222" s="104"/>
      <c r="V222" s="16"/>
      <c r="W222" s="104"/>
      <c r="X222" s="16"/>
      <c r="Y222" s="104"/>
      <c r="Z222" s="16"/>
      <c r="AA222" s="16"/>
      <c r="AB222" s="16"/>
      <c r="AC222" s="16"/>
      <c r="AD222" s="102"/>
      <c r="AE222" s="467"/>
      <c r="AF222" s="106"/>
      <c r="AG222" s="11"/>
      <c r="AH222" s="11"/>
      <c r="AI222" s="143"/>
      <c r="AJ222" s="105"/>
      <c r="AK222" s="519"/>
      <c r="AL222" s="519"/>
      <c r="AM222" s="519"/>
      <c r="AN222" s="519"/>
      <c r="AO222" s="519"/>
      <c r="AP222" s="519"/>
      <c r="AQ222" s="515"/>
      <c r="AR222" s="519"/>
      <c r="AS222" s="515"/>
      <c r="AT222" s="515"/>
      <c r="AU222" s="515"/>
      <c r="AV222" s="515"/>
      <c r="AW222" s="515"/>
      <c r="AX222" s="515"/>
      <c r="AY222" s="515"/>
      <c r="AZ222" s="515"/>
      <c r="BA222" s="515"/>
      <c r="BB222" s="515"/>
      <c r="BC222" s="643"/>
      <c r="BD222" s="515"/>
      <c r="BE222" s="515"/>
      <c r="BF222" s="515"/>
      <c r="BG222" s="515"/>
      <c r="BH222" s="631"/>
      <c r="BI222" s="515"/>
      <c r="BJ222" s="515"/>
      <c r="BK222" s="515"/>
      <c r="BL222" s="515"/>
      <c r="BM222" s="515"/>
      <c r="BN222" s="515"/>
      <c r="BO222" s="516"/>
    </row>
    <row r="223" spans="1:67" s="517" customFormat="1">
      <c r="A223"/>
      <c r="B223" s="107"/>
      <c r="C223" s="107"/>
      <c r="D223" s="107"/>
      <c r="E223" s="107"/>
      <c r="F223" s="107"/>
      <c r="G223"/>
      <c r="H223"/>
      <c r="I223" s="29"/>
      <c r="J223"/>
      <c r="K223" s="16"/>
      <c r="L223"/>
      <c r="M223" s="108"/>
      <c r="N223" s="102"/>
      <c r="O223" s="28"/>
      <c r="P223" s="103"/>
      <c r="Q223" s="102"/>
      <c r="R223" s="16"/>
      <c r="S223" s="104"/>
      <c r="T223" s="16"/>
      <c r="U223" s="104"/>
      <c r="V223" s="16"/>
      <c r="W223" s="104"/>
      <c r="X223" s="16"/>
      <c r="Y223" s="104"/>
      <c r="Z223" s="16"/>
      <c r="AA223" s="16"/>
      <c r="AB223" s="16"/>
      <c r="AC223" s="16"/>
      <c r="AD223" s="102"/>
      <c r="AE223" s="467"/>
      <c r="AF223" s="106"/>
      <c r="AG223" s="11"/>
      <c r="AH223" s="11"/>
      <c r="AI223" s="143"/>
      <c r="AJ223" s="105"/>
      <c r="AK223" s="519"/>
      <c r="AL223" s="519"/>
      <c r="AM223" s="519"/>
      <c r="AN223" s="519"/>
      <c r="AO223" s="519"/>
      <c r="AP223" s="519"/>
      <c r="AQ223" s="515"/>
      <c r="AR223" s="519"/>
      <c r="AS223" s="515"/>
      <c r="AT223" s="515"/>
      <c r="AU223" s="515"/>
      <c r="AV223" s="515"/>
      <c r="AW223" s="515"/>
      <c r="AX223" s="515"/>
      <c r="AY223" s="515"/>
      <c r="AZ223" s="515"/>
      <c r="BA223" s="515"/>
      <c r="BB223" s="515"/>
      <c r="BC223" s="643"/>
      <c r="BD223" s="515"/>
      <c r="BE223" s="515"/>
      <c r="BF223" s="515"/>
      <c r="BG223" s="515"/>
      <c r="BH223" s="631"/>
      <c r="BI223" s="515"/>
      <c r="BJ223" s="515"/>
      <c r="BK223" s="515"/>
      <c r="BL223" s="515"/>
      <c r="BM223" s="515"/>
      <c r="BN223" s="515"/>
      <c r="BO223" s="516"/>
    </row>
    <row r="224" spans="1:67" s="517" customFormat="1">
      <c r="A224"/>
      <c r="B224" s="107"/>
      <c r="C224" s="107"/>
      <c r="D224" s="107"/>
      <c r="E224" s="107"/>
      <c r="F224" s="107"/>
      <c r="G224"/>
      <c r="H224"/>
      <c r="I224" s="29"/>
      <c r="J224"/>
      <c r="K224" s="16"/>
      <c r="L224"/>
      <c r="M224" s="108"/>
      <c r="N224" s="102"/>
      <c r="O224" s="28"/>
      <c r="P224" s="103"/>
      <c r="Q224" s="102"/>
      <c r="R224" s="16"/>
      <c r="S224" s="104"/>
      <c r="T224" s="16"/>
      <c r="U224" s="104"/>
      <c r="V224" s="16"/>
      <c r="W224" s="104"/>
      <c r="X224" s="16"/>
      <c r="Y224" s="104"/>
      <c r="Z224" s="16"/>
      <c r="AA224" s="16"/>
      <c r="AB224" s="16"/>
      <c r="AC224" s="16"/>
      <c r="AD224" s="102"/>
      <c r="AE224" s="467"/>
      <c r="AF224" s="106"/>
      <c r="AG224" s="11"/>
      <c r="AH224" s="11"/>
      <c r="AI224" s="143"/>
      <c r="AJ224" s="105"/>
      <c r="AK224" s="519"/>
      <c r="AL224" s="519"/>
      <c r="AM224" s="519"/>
      <c r="AN224" s="519"/>
      <c r="AO224" s="519"/>
      <c r="AP224" s="519"/>
      <c r="AQ224" s="515"/>
      <c r="AR224" s="519"/>
      <c r="AS224" s="515"/>
      <c r="AT224" s="515"/>
      <c r="AU224" s="515"/>
      <c r="AV224" s="515"/>
      <c r="AW224" s="515"/>
      <c r="AX224" s="515"/>
      <c r="AY224" s="515"/>
      <c r="AZ224" s="515"/>
      <c r="BA224" s="515"/>
      <c r="BB224" s="515"/>
      <c r="BC224" s="643"/>
      <c r="BD224" s="515"/>
      <c r="BE224" s="515"/>
      <c r="BF224" s="515"/>
      <c r="BG224" s="515"/>
      <c r="BH224" s="631"/>
      <c r="BI224" s="515"/>
      <c r="BJ224" s="515"/>
      <c r="BK224" s="515"/>
      <c r="BL224" s="515"/>
      <c r="BM224" s="515"/>
      <c r="BN224" s="515"/>
      <c r="BO224" s="516"/>
    </row>
    <row r="225" spans="1:67" s="517" customFormat="1">
      <c r="A225"/>
      <c r="B225" s="107"/>
      <c r="C225" s="107"/>
      <c r="D225" s="107"/>
      <c r="E225" s="107"/>
      <c r="F225" s="107"/>
      <c r="G225"/>
      <c r="H225"/>
      <c r="I225" s="29"/>
      <c r="J225"/>
      <c r="K225" s="16"/>
      <c r="L225"/>
      <c r="M225" s="108"/>
      <c r="N225" s="102"/>
      <c r="O225" s="28"/>
      <c r="P225" s="103"/>
      <c r="Q225" s="102"/>
      <c r="R225" s="16"/>
      <c r="S225" s="104"/>
      <c r="T225" s="16"/>
      <c r="U225" s="104"/>
      <c r="V225" s="16"/>
      <c r="W225" s="104"/>
      <c r="X225" s="16"/>
      <c r="Y225" s="104"/>
      <c r="Z225" s="16"/>
      <c r="AA225" s="16"/>
      <c r="AB225" s="16"/>
      <c r="AC225" s="16"/>
      <c r="AD225" s="102"/>
      <c r="AE225" s="467"/>
      <c r="AF225" s="106"/>
      <c r="AG225" s="11"/>
      <c r="AH225" s="11"/>
      <c r="AI225" s="143"/>
      <c r="AJ225" s="105"/>
      <c r="AK225" s="519"/>
      <c r="AL225" s="519"/>
      <c r="AM225" s="519"/>
      <c r="AN225" s="519"/>
      <c r="AO225" s="519"/>
      <c r="AP225" s="519"/>
      <c r="AQ225" s="515"/>
      <c r="AR225" s="519"/>
      <c r="AS225" s="515"/>
      <c r="AT225" s="515"/>
      <c r="AU225" s="515"/>
      <c r="AV225" s="515"/>
      <c r="AW225" s="515"/>
      <c r="AX225" s="515"/>
      <c r="AY225" s="515"/>
      <c r="AZ225" s="515"/>
      <c r="BA225" s="515"/>
      <c r="BB225" s="515"/>
      <c r="BC225" s="643"/>
      <c r="BD225" s="515"/>
      <c r="BE225" s="515"/>
      <c r="BF225" s="515"/>
      <c r="BG225" s="515"/>
      <c r="BH225" s="631"/>
      <c r="BI225" s="515"/>
      <c r="BJ225" s="515"/>
      <c r="BK225" s="515"/>
      <c r="BL225" s="515"/>
      <c r="BM225" s="515"/>
      <c r="BN225" s="515"/>
      <c r="BO225" s="516"/>
    </row>
    <row r="226" spans="1:67" s="517" customFormat="1">
      <c r="A226"/>
      <c r="B226" s="107"/>
      <c r="C226" s="107"/>
      <c r="D226" s="107"/>
      <c r="E226" s="107"/>
      <c r="F226" s="107"/>
      <c r="G226"/>
      <c r="H226"/>
      <c r="I226" s="29"/>
      <c r="J226"/>
      <c r="K226" s="16"/>
      <c r="L226"/>
      <c r="M226" s="108"/>
      <c r="N226" s="102"/>
      <c r="O226" s="28"/>
      <c r="P226" s="103"/>
      <c r="Q226" s="102"/>
      <c r="R226" s="16"/>
      <c r="S226" s="104"/>
      <c r="T226" s="16"/>
      <c r="U226" s="104"/>
      <c r="V226" s="16"/>
      <c r="W226" s="104"/>
      <c r="X226" s="16"/>
      <c r="Y226" s="104"/>
      <c r="Z226" s="16"/>
      <c r="AA226" s="16"/>
      <c r="AB226" s="16"/>
      <c r="AC226" s="16"/>
      <c r="AD226" s="102"/>
      <c r="AE226" s="467"/>
      <c r="AF226" s="106"/>
      <c r="AG226" s="11"/>
      <c r="AH226" s="11"/>
      <c r="AI226" s="143"/>
      <c r="AJ226" s="105"/>
      <c r="AK226" s="519"/>
      <c r="AL226" s="519"/>
      <c r="AM226" s="519"/>
      <c r="AN226" s="519"/>
      <c r="AO226" s="519"/>
      <c r="AP226" s="519"/>
      <c r="AQ226" s="515"/>
      <c r="AR226" s="519"/>
      <c r="AS226" s="515"/>
      <c r="AT226" s="515"/>
      <c r="AU226" s="515"/>
      <c r="AV226" s="515"/>
      <c r="AW226" s="515"/>
      <c r="AX226" s="515"/>
      <c r="AY226" s="515"/>
      <c r="AZ226" s="515"/>
      <c r="BA226" s="515"/>
      <c r="BB226" s="515"/>
      <c r="BC226" s="643"/>
      <c r="BD226" s="515"/>
      <c r="BE226" s="515"/>
      <c r="BF226" s="515"/>
      <c r="BG226" s="515"/>
      <c r="BH226" s="631"/>
      <c r="BI226" s="515"/>
      <c r="BJ226" s="515"/>
      <c r="BK226" s="515"/>
      <c r="BL226" s="515"/>
      <c r="BM226" s="515"/>
      <c r="BN226" s="515"/>
      <c r="BO226" s="516"/>
    </row>
    <row r="227" spans="1:67" s="517" customFormat="1">
      <c r="A227"/>
      <c r="B227" s="107"/>
      <c r="C227" s="107"/>
      <c r="D227" s="107"/>
      <c r="E227" s="107"/>
      <c r="F227" s="107"/>
      <c r="G227"/>
      <c r="H227"/>
      <c r="I227" s="29"/>
      <c r="J227"/>
      <c r="K227" s="16"/>
      <c r="L227"/>
      <c r="M227" s="108"/>
      <c r="N227" s="102"/>
      <c r="O227" s="28"/>
      <c r="P227" s="103"/>
      <c r="Q227" s="102"/>
      <c r="R227" s="16"/>
      <c r="S227" s="104"/>
      <c r="T227" s="16"/>
      <c r="U227" s="104"/>
      <c r="V227" s="16"/>
      <c r="W227" s="104"/>
      <c r="X227" s="16"/>
      <c r="Y227" s="104"/>
      <c r="Z227" s="16"/>
      <c r="AA227" s="16"/>
      <c r="AB227" s="16"/>
      <c r="AC227" s="16"/>
      <c r="AD227" s="102"/>
      <c r="AE227" s="467"/>
      <c r="AF227" s="106"/>
      <c r="AG227" s="11"/>
      <c r="AH227" s="11"/>
      <c r="AI227" s="143"/>
      <c r="AJ227" s="105"/>
      <c r="AK227" s="519"/>
      <c r="AL227" s="519"/>
      <c r="AM227" s="519"/>
      <c r="AN227" s="519"/>
      <c r="AO227" s="519"/>
      <c r="AP227" s="519"/>
      <c r="AQ227" s="515"/>
      <c r="AR227" s="519"/>
      <c r="AS227" s="515"/>
      <c r="AT227" s="515"/>
      <c r="AU227" s="515"/>
      <c r="AV227" s="515"/>
      <c r="AW227" s="515"/>
      <c r="AX227" s="515"/>
      <c r="AY227" s="515"/>
      <c r="AZ227" s="515"/>
      <c r="BA227" s="515"/>
      <c r="BB227" s="515"/>
      <c r="BC227" s="643"/>
      <c r="BD227" s="515"/>
      <c r="BE227" s="515"/>
      <c r="BF227" s="515"/>
      <c r="BG227" s="515"/>
      <c r="BH227" s="631"/>
      <c r="BI227" s="515"/>
      <c r="BJ227" s="515"/>
      <c r="BK227" s="515"/>
      <c r="BL227" s="515"/>
      <c r="BM227" s="515"/>
      <c r="BN227" s="515"/>
      <c r="BO227" s="516"/>
    </row>
    <row r="228" spans="1:67" s="517" customFormat="1">
      <c r="A228"/>
      <c r="B228" s="107"/>
      <c r="C228" s="107"/>
      <c r="D228" s="107"/>
      <c r="E228" s="107"/>
      <c r="F228" s="107"/>
      <c r="G228"/>
      <c r="H228"/>
      <c r="I228" s="29"/>
      <c r="J228"/>
      <c r="K228" s="16"/>
      <c r="L228"/>
      <c r="M228" s="108"/>
      <c r="N228" s="102"/>
      <c r="O228" s="28"/>
      <c r="P228" s="103"/>
      <c r="Q228" s="102"/>
      <c r="R228" s="16"/>
      <c r="S228" s="104"/>
      <c r="T228" s="16"/>
      <c r="U228" s="104"/>
      <c r="V228" s="16"/>
      <c r="W228" s="104"/>
      <c r="X228" s="16"/>
      <c r="Y228" s="104"/>
      <c r="Z228" s="16"/>
      <c r="AA228" s="16"/>
      <c r="AB228" s="16"/>
      <c r="AC228" s="16"/>
      <c r="AD228" s="102"/>
      <c r="AE228" s="467"/>
      <c r="AF228" s="106"/>
      <c r="AG228" s="11"/>
      <c r="AH228" s="11"/>
      <c r="AI228" s="143"/>
      <c r="AJ228" s="105"/>
      <c r="AK228" s="519"/>
      <c r="AL228" s="519"/>
      <c r="AM228" s="519"/>
      <c r="AN228" s="519"/>
      <c r="AO228" s="519"/>
      <c r="AP228" s="519"/>
      <c r="AQ228" s="515"/>
      <c r="AR228" s="519"/>
      <c r="AS228" s="515"/>
      <c r="AT228" s="515"/>
      <c r="AU228" s="515"/>
      <c r="AV228" s="515"/>
      <c r="AW228" s="515"/>
      <c r="AX228" s="515"/>
      <c r="AY228" s="515"/>
      <c r="AZ228" s="515"/>
      <c r="BA228" s="515"/>
      <c r="BB228" s="515"/>
      <c r="BC228" s="643"/>
      <c r="BD228" s="515"/>
      <c r="BE228" s="515"/>
      <c r="BF228" s="515"/>
      <c r="BG228" s="515"/>
      <c r="BH228" s="631"/>
      <c r="BI228" s="515"/>
      <c r="BJ228" s="515"/>
      <c r="BK228" s="515"/>
      <c r="BL228" s="515"/>
      <c r="BM228" s="515"/>
      <c r="BN228" s="515"/>
      <c r="BO228" s="516"/>
    </row>
    <row r="229" spans="1:67" s="517" customFormat="1">
      <c r="A229"/>
      <c r="B229" s="107"/>
      <c r="C229" s="107"/>
      <c r="D229" s="107"/>
      <c r="E229" s="107"/>
      <c r="F229" s="107"/>
      <c r="G229"/>
      <c r="H229"/>
      <c r="I229" s="29"/>
      <c r="J229"/>
      <c r="K229" s="16"/>
      <c r="L229"/>
      <c r="M229" s="108"/>
      <c r="N229" s="102"/>
      <c r="O229" s="28"/>
      <c r="P229" s="103"/>
      <c r="Q229" s="102"/>
      <c r="R229" s="16"/>
      <c r="S229" s="104"/>
      <c r="T229" s="16"/>
      <c r="U229" s="104"/>
      <c r="V229" s="16"/>
      <c r="W229" s="104"/>
      <c r="X229" s="16"/>
      <c r="Y229" s="104"/>
      <c r="Z229" s="16"/>
      <c r="AA229" s="16"/>
      <c r="AB229" s="16"/>
      <c r="AC229" s="16"/>
      <c r="AD229" s="102"/>
      <c r="AE229" s="467"/>
      <c r="AF229" s="106"/>
      <c r="AG229" s="11"/>
      <c r="AH229" s="11"/>
      <c r="AI229" s="143"/>
      <c r="AJ229" s="105"/>
      <c r="AK229" s="519"/>
      <c r="AL229" s="519"/>
      <c r="AM229" s="519"/>
      <c r="AN229" s="519"/>
      <c r="AO229" s="519"/>
      <c r="AP229" s="519"/>
      <c r="AQ229" s="515"/>
      <c r="AR229" s="519"/>
      <c r="AS229" s="515"/>
      <c r="AT229" s="515"/>
      <c r="AU229" s="515"/>
      <c r="AV229" s="515"/>
      <c r="AW229" s="515"/>
      <c r="AX229" s="515"/>
      <c r="AY229" s="515"/>
      <c r="AZ229" s="515"/>
      <c r="BA229" s="515"/>
      <c r="BB229" s="515"/>
      <c r="BC229" s="643"/>
      <c r="BD229" s="515"/>
      <c r="BE229" s="515"/>
      <c r="BF229" s="515"/>
      <c r="BG229" s="515"/>
      <c r="BH229" s="631"/>
      <c r="BI229" s="515"/>
      <c r="BJ229" s="515"/>
      <c r="BK229" s="515"/>
      <c r="BL229" s="515"/>
      <c r="BM229" s="515"/>
      <c r="BN229" s="515"/>
      <c r="BO229" s="516"/>
    </row>
    <row r="230" spans="1:67" s="517" customFormat="1">
      <c r="A230"/>
      <c r="B230" s="107"/>
      <c r="C230" s="107"/>
      <c r="D230" s="107"/>
      <c r="E230" s="107"/>
      <c r="F230" s="107"/>
      <c r="G230"/>
      <c r="H230"/>
      <c r="I230" s="29"/>
      <c r="J230"/>
      <c r="K230" s="16"/>
      <c r="L230"/>
      <c r="M230" s="108"/>
      <c r="N230" s="102"/>
      <c r="O230" s="28"/>
      <c r="P230" s="103"/>
      <c r="Q230" s="102"/>
      <c r="R230" s="16"/>
      <c r="S230" s="104"/>
      <c r="T230" s="16"/>
      <c r="U230" s="104"/>
      <c r="V230" s="16"/>
      <c r="W230" s="104"/>
      <c r="X230" s="16"/>
      <c r="Y230" s="104"/>
      <c r="Z230" s="16"/>
      <c r="AA230" s="16"/>
      <c r="AB230" s="16"/>
      <c r="AC230" s="16"/>
      <c r="AD230" s="102"/>
      <c r="AE230" s="467"/>
      <c r="AF230" s="106"/>
      <c r="AG230" s="11"/>
      <c r="AH230" s="11"/>
      <c r="AI230" s="143"/>
      <c r="AJ230" s="105"/>
      <c r="AK230" s="519"/>
      <c r="AL230" s="519"/>
      <c r="AM230" s="519"/>
      <c r="AN230" s="519"/>
      <c r="AO230" s="519"/>
      <c r="AP230" s="519"/>
      <c r="AQ230" s="515"/>
      <c r="AR230" s="519"/>
      <c r="AS230" s="515"/>
      <c r="AT230" s="515"/>
      <c r="AU230" s="515"/>
      <c r="AV230" s="515"/>
      <c r="AW230" s="515"/>
      <c r="AX230" s="515"/>
      <c r="AY230" s="515"/>
      <c r="AZ230" s="515"/>
      <c r="BA230" s="515"/>
      <c r="BB230" s="515"/>
      <c r="BC230" s="643"/>
      <c r="BD230" s="515"/>
      <c r="BE230" s="515"/>
      <c r="BF230" s="515"/>
      <c r="BG230" s="515"/>
      <c r="BH230" s="631"/>
      <c r="BI230" s="515"/>
      <c r="BJ230" s="515"/>
      <c r="BK230" s="515"/>
      <c r="BL230" s="515"/>
      <c r="BM230" s="515"/>
      <c r="BN230" s="515"/>
      <c r="BO230" s="516"/>
    </row>
    <row r="231" spans="1:67" s="517" customFormat="1">
      <c r="A231"/>
      <c r="B231" s="107"/>
      <c r="C231" s="107"/>
      <c r="D231" s="107"/>
      <c r="E231" s="107"/>
      <c r="F231" s="107"/>
      <c r="G231"/>
      <c r="H231"/>
      <c r="I231" s="29"/>
      <c r="J231"/>
      <c r="K231" s="16"/>
      <c r="L231"/>
      <c r="M231" s="108"/>
      <c r="N231" s="102"/>
      <c r="O231" s="28"/>
      <c r="P231" s="103"/>
      <c r="Q231" s="102"/>
      <c r="R231" s="16"/>
      <c r="S231" s="104"/>
      <c r="T231" s="16"/>
      <c r="U231" s="104"/>
      <c r="V231" s="16"/>
      <c r="W231" s="104"/>
      <c r="X231" s="16"/>
      <c r="Y231" s="104"/>
      <c r="Z231" s="16"/>
      <c r="AA231" s="16"/>
      <c r="AB231" s="16"/>
      <c r="AC231" s="16"/>
      <c r="AD231" s="102"/>
      <c r="AE231" s="467"/>
      <c r="AF231" s="106"/>
      <c r="AG231" s="11"/>
      <c r="AH231" s="11"/>
      <c r="AI231" s="143"/>
      <c r="AJ231" s="105"/>
      <c r="AK231" s="519"/>
      <c r="AL231" s="519"/>
      <c r="AM231" s="519"/>
      <c r="AN231" s="519"/>
      <c r="AO231" s="519"/>
      <c r="AP231" s="519"/>
      <c r="AQ231" s="515"/>
      <c r="AR231" s="519"/>
      <c r="AS231" s="515"/>
      <c r="AT231" s="515"/>
      <c r="AU231" s="515"/>
      <c r="AV231" s="515"/>
      <c r="AW231" s="515"/>
      <c r="AX231" s="515"/>
      <c r="AY231" s="515"/>
      <c r="AZ231" s="515"/>
      <c r="BA231" s="515"/>
      <c r="BB231" s="515"/>
      <c r="BC231" s="643"/>
      <c r="BD231" s="515"/>
      <c r="BE231" s="515"/>
      <c r="BF231" s="515"/>
      <c r="BG231" s="515"/>
      <c r="BH231" s="631"/>
      <c r="BI231" s="515"/>
      <c r="BJ231" s="515"/>
      <c r="BK231" s="515"/>
      <c r="BL231" s="515"/>
      <c r="BM231" s="515"/>
      <c r="BN231" s="515"/>
      <c r="BO231" s="516"/>
    </row>
    <row r="232" spans="1:67" s="517" customFormat="1">
      <c r="A232"/>
      <c r="B232" s="107"/>
      <c r="C232" s="107"/>
      <c r="D232" s="107"/>
      <c r="E232" s="107"/>
      <c r="F232" s="107"/>
      <c r="G232"/>
      <c r="H232"/>
      <c r="I232" s="29"/>
      <c r="J232"/>
      <c r="K232" s="16"/>
      <c r="L232"/>
      <c r="M232" s="108"/>
      <c r="N232" s="102"/>
      <c r="O232" s="28"/>
      <c r="P232" s="103"/>
      <c r="Q232" s="102"/>
      <c r="R232" s="16"/>
      <c r="S232" s="104"/>
      <c r="T232" s="16"/>
      <c r="U232" s="104"/>
      <c r="V232" s="16"/>
      <c r="W232" s="104"/>
      <c r="X232" s="16"/>
      <c r="Y232" s="104"/>
      <c r="Z232" s="16"/>
      <c r="AA232" s="16"/>
      <c r="AB232" s="16"/>
      <c r="AC232" s="16"/>
      <c r="AD232" s="102"/>
      <c r="AE232" s="467"/>
      <c r="AF232" s="106"/>
      <c r="AG232" s="11"/>
      <c r="AH232" s="11"/>
      <c r="AI232" s="143"/>
      <c r="AJ232" s="105"/>
      <c r="AK232" s="519"/>
      <c r="AL232" s="519"/>
      <c r="AM232" s="519"/>
      <c r="AN232" s="519"/>
      <c r="AO232" s="519"/>
      <c r="AP232" s="519"/>
      <c r="AQ232" s="515"/>
      <c r="AR232" s="519"/>
      <c r="AS232" s="515"/>
      <c r="AT232" s="515"/>
      <c r="AU232" s="515"/>
      <c r="AV232" s="515"/>
      <c r="AW232" s="515"/>
      <c r="AX232" s="515"/>
      <c r="AY232" s="515"/>
      <c r="AZ232" s="515"/>
      <c r="BA232" s="515"/>
      <c r="BB232" s="515"/>
      <c r="BC232" s="643"/>
      <c r="BD232" s="515"/>
      <c r="BE232" s="515"/>
      <c r="BF232" s="515"/>
      <c r="BG232" s="515"/>
      <c r="BH232" s="631"/>
      <c r="BI232" s="515"/>
      <c r="BJ232" s="515"/>
      <c r="BK232" s="515"/>
      <c r="BL232" s="515"/>
      <c r="BM232" s="515"/>
      <c r="BN232" s="515"/>
      <c r="BO232" s="516"/>
    </row>
    <row r="233" spans="1:67" s="517" customFormat="1">
      <c r="A233"/>
      <c r="B233" s="107"/>
      <c r="C233" s="107"/>
      <c r="D233" s="107"/>
      <c r="E233" s="107"/>
      <c r="F233" s="107"/>
      <c r="G233"/>
      <c r="H233"/>
      <c r="I233" s="29"/>
      <c r="J233"/>
      <c r="K233" s="16"/>
      <c r="L233"/>
      <c r="M233" s="108"/>
      <c r="N233" s="102"/>
      <c r="O233" s="28"/>
      <c r="P233" s="103"/>
      <c r="Q233" s="102"/>
      <c r="R233" s="16"/>
      <c r="S233" s="104"/>
      <c r="T233" s="16"/>
      <c r="U233" s="104"/>
      <c r="V233" s="16"/>
      <c r="W233" s="104"/>
      <c r="X233" s="16"/>
      <c r="Y233" s="104"/>
      <c r="Z233" s="16"/>
      <c r="AA233" s="16"/>
      <c r="AB233" s="16"/>
      <c r="AC233" s="16"/>
      <c r="AD233" s="102"/>
      <c r="AE233" s="467"/>
      <c r="AF233" s="106"/>
      <c r="AG233" s="11"/>
      <c r="AH233" s="11"/>
      <c r="AI233" s="143"/>
      <c r="AJ233" s="105"/>
      <c r="AK233" s="519"/>
      <c r="AL233" s="519"/>
      <c r="AM233" s="519"/>
      <c r="AN233" s="519"/>
      <c r="AO233" s="519"/>
      <c r="AP233" s="519"/>
      <c r="AQ233" s="515"/>
      <c r="AR233" s="519"/>
      <c r="AS233" s="515"/>
      <c r="AT233" s="515"/>
      <c r="AU233" s="515"/>
      <c r="AV233" s="515"/>
      <c r="AW233" s="515"/>
      <c r="AX233" s="515"/>
      <c r="AY233" s="515"/>
      <c r="AZ233" s="515"/>
      <c r="BA233" s="515"/>
      <c r="BB233" s="515"/>
      <c r="BC233" s="643"/>
      <c r="BD233" s="515"/>
      <c r="BE233" s="515"/>
      <c r="BF233" s="515"/>
      <c r="BG233" s="515"/>
      <c r="BH233" s="631"/>
      <c r="BI233" s="515"/>
      <c r="BJ233" s="515"/>
      <c r="BK233" s="515"/>
      <c r="BL233" s="515"/>
      <c r="BM233" s="515"/>
      <c r="BN233" s="515"/>
      <c r="BO233" s="516"/>
    </row>
    <row r="234" spans="1:67" s="517" customFormat="1">
      <c r="A234"/>
      <c r="B234" s="107"/>
      <c r="C234" s="107"/>
      <c r="D234" s="107"/>
      <c r="E234" s="107"/>
      <c r="F234" s="107"/>
      <c r="G234"/>
      <c r="H234"/>
      <c r="I234" s="29"/>
      <c r="J234"/>
      <c r="K234" s="16"/>
      <c r="L234"/>
      <c r="M234" s="108"/>
      <c r="N234" s="102"/>
      <c r="O234" s="28"/>
      <c r="P234" s="103"/>
      <c r="Q234" s="102"/>
      <c r="R234" s="16"/>
      <c r="S234" s="104"/>
      <c r="T234" s="16"/>
      <c r="U234" s="104"/>
      <c r="V234" s="16"/>
      <c r="W234" s="104"/>
      <c r="X234" s="16"/>
      <c r="Y234" s="104"/>
      <c r="Z234" s="16"/>
      <c r="AA234" s="16"/>
      <c r="AB234" s="16"/>
      <c r="AC234" s="16"/>
      <c r="AD234" s="102"/>
      <c r="AE234" s="467"/>
      <c r="AF234" s="106"/>
      <c r="AG234" s="11"/>
      <c r="AH234" s="11"/>
      <c r="AI234" s="143"/>
      <c r="AJ234" s="105"/>
      <c r="AK234" s="519"/>
      <c r="AL234" s="519"/>
      <c r="AM234" s="519"/>
      <c r="AN234" s="519"/>
      <c r="AO234" s="519"/>
      <c r="AP234" s="519"/>
      <c r="AQ234" s="515"/>
      <c r="AR234" s="519"/>
      <c r="AS234" s="515"/>
      <c r="AT234" s="515"/>
      <c r="AU234" s="515"/>
      <c r="AV234" s="515"/>
      <c r="AW234" s="515"/>
      <c r="AX234" s="515"/>
      <c r="AY234" s="515"/>
      <c r="AZ234" s="515"/>
      <c r="BA234" s="515"/>
      <c r="BB234" s="515"/>
      <c r="BC234" s="643"/>
      <c r="BD234" s="515"/>
      <c r="BE234" s="515"/>
      <c r="BF234" s="515"/>
      <c r="BG234" s="515"/>
      <c r="BH234" s="631"/>
      <c r="BI234" s="515"/>
      <c r="BJ234" s="515"/>
      <c r="BK234" s="515"/>
      <c r="BL234" s="515"/>
      <c r="BM234" s="515"/>
      <c r="BN234" s="515"/>
      <c r="BO234" s="516"/>
    </row>
    <row r="235" spans="1:67" s="517" customFormat="1">
      <c r="A235"/>
      <c r="B235" s="107"/>
      <c r="C235" s="107"/>
      <c r="D235" s="107"/>
      <c r="E235" s="107"/>
      <c r="F235" s="107"/>
      <c r="G235"/>
      <c r="H235"/>
      <c r="I235" s="29"/>
      <c r="J235"/>
      <c r="K235" s="16"/>
      <c r="L235"/>
      <c r="M235" s="108"/>
      <c r="N235" s="102"/>
      <c r="O235" s="28"/>
      <c r="P235" s="103"/>
      <c r="Q235" s="102"/>
      <c r="R235" s="16"/>
      <c r="S235" s="104"/>
      <c r="T235" s="16"/>
      <c r="U235" s="104"/>
      <c r="V235" s="16"/>
      <c r="W235" s="104"/>
      <c r="X235" s="16"/>
      <c r="Y235" s="104"/>
      <c r="Z235" s="16"/>
      <c r="AA235" s="16"/>
      <c r="AB235" s="16"/>
      <c r="AC235" s="16"/>
      <c r="AD235" s="102"/>
      <c r="AE235" s="467"/>
      <c r="AF235" s="106"/>
      <c r="AG235" s="11"/>
      <c r="AH235" s="11"/>
      <c r="AI235" s="143"/>
      <c r="AJ235" s="105"/>
      <c r="AK235" s="519"/>
      <c r="AL235" s="519"/>
      <c r="AM235" s="519"/>
      <c r="AN235" s="519"/>
      <c r="AO235" s="519"/>
      <c r="AP235" s="519"/>
      <c r="AQ235" s="515"/>
      <c r="AR235" s="519"/>
      <c r="AS235" s="515"/>
      <c r="AT235" s="515"/>
      <c r="AU235" s="515"/>
      <c r="AV235" s="515"/>
      <c r="AW235" s="515"/>
      <c r="AX235" s="515"/>
      <c r="AY235" s="515"/>
      <c r="AZ235" s="515"/>
      <c r="BA235" s="515"/>
      <c r="BB235" s="515"/>
      <c r="BC235" s="643"/>
      <c r="BD235" s="515"/>
      <c r="BE235" s="515"/>
      <c r="BF235" s="515"/>
      <c r="BG235" s="515"/>
      <c r="BH235" s="631"/>
      <c r="BI235" s="515"/>
      <c r="BJ235" s="515"/>
      <c r="BK235" s="515"/>
      <c r="BL235" s="515"/>
      <c r="BM235" s="515"/>
      <c r="BN235" s="515"/>
      <c r="BO235" s="516"/>
    </row>
    <row r="236" spans="1:67" s="517" customFormat="1">
      <c r="A236"/>
      <c r="B236" s="107"/>
      <c r="C236" s="107"/>
      <c r="D236" s="107"/>
      <c r="E236" s="107"/>
      <c r="F236" s="107"/>
      <c r="G236"/>
      <c r="H236"/>
      <c r="I236" s="29"/>
      <c r="J236"/>
      <c r="K236" s="16"/>
      <c r="L236"/>
      <c r="M236" s="108"/>
      <c r="N236" s="102"/>
      <c r="O236" s="28"/>
      <c r="P236" s="103"/>
      <c r="Q236" s="102"/>
      <c r="R236" s="16"/>
      <c r="S236" s="104"/>
      <c r="T236" s="16"/>
      <c r="U236" s="104"/>
      <c r="V236" s="16"/>
      <c r="W236" s="104"/>
      <c r="X236" s="16"/>
      <c r="Y236" s="104"/>
      <c r="Z236" s="16"/>
      <c r="AA236" s="16"/>
      <c r="AB236" s="16"/>
      <c r="AC236" s="16"/>
      <c r="AD236" s="102"/>
      <c r="AE236" s="467"/>
      <c r="AF236" s="106"/>
      <c r="AG236" s="11"/>
      <c r="AH236" s="11"/>
      <c r="AI236" s="143"/>
      <c r="AJ236" s="105"/>
      <c r="AK236" s="519"/>
      <c r="AL236" s="519"/>
      <c r="AM236" s="519"/>
      <c r="AN236" s="519"/>
      <c r="AO236" s="519"/>
      <c r="AP236" s="519"/>
      <c r="AQ236" s="515"/>
      <c r="AR236" s="519"/>
      <c r="AS236" s="515"/>
      <c r="AT236" s="515"/>
      <c r="AU236" s="515"/>
      <c r="AV236" s="515"/>
      <c r="AW236" s="515"/>
      <c r="AX236" s="515"/>
      <c r="AY236" s="515"/>
      <c r="AZ236" s="515"/>
      <c r="BA236" s="515"/>
      <c r="BB236" s="515"/>
      <c r="BC236" s="643"/>
      <c r="BD236" s="515"/>
      <c r="BE236" s="515"/>
      <c r="BF236" s="515"/>
      <c r="BG236" s="515"/>
      <c r="BH236" s="631"/>
      <c r="BI236" s="515"/>
      <c r="BJ236" s="515"/>
      <c r="BK236" s="515"/>
      <c r="BL236" s="515"/>
      <c r="BM236" s="515"/>
      <c r="BN236" s="515"/>
      <c r="BO236" s="516"/>
    </row>
    <row r="237" spans="1:67" s="517" customFormat="1">
      <c r="A237"/>
      <c r="B237" s="107"/>
      <c r="C237" s="107"/>
      <c r="D237" s="107"/>
      <c r="E237" s="107"/>
      <c r="F237" s="107"/>
      <c r="G237"/>
      <c r="H237"/>
      <c r="I237" s="29"/>
      <c r="J237"/>
      <c r="K237" s="16"/>
      <c r="L237"/>
      <c r="M237" s="108"/>
      <c r="N237" s="102"/>
      <c r="O237" s="28"/>
      <c r="P237" s="103"/>
      <c r="Q237" s="102"/>
      <c r="R237" s="16"/>
      <c r="S237" s="104"/>
      <c r="T237" s="16"/>
      <c r="U237" s="104"/>
      <c r="V237" s="16"/>
      <c r="W237" s="104"/>
      <c r="X237" s="16"/>
      <c r="Y237" s="104"/>
      <c r="Z237" s="16"/>
      <c r="AA237" s="16"/>
      <c r="AB237" s="16"/>
      <c r="AC237" s="16"/>
      <c r="AD237" s="102"/>
      <c r="AE237" s="467"/>
      <c r="AF237" s="106"/>
      <c r="AG237" s="11"/>
      <c r="AH237" s="11"/>
      <c r="AI237" s="143"/>
      <c r="AJ237" s="105"/>
      <c r="AK237" s="519"/>
      <c r="AL237" s="519"/>
      <c r="AM237" s="519"/>
      <c r="AN237" s="519"/>
      <c r="AO237" s="519"/>
      <c r="AP237" s="519"/>
      <c r="AQ237" s="515"/>
      <c r="AR237" s="519"/>
      <c r="AS237" s="515"/>
      <c r="AT237" s="515"/>
      <c r="AU237" s="515"/>
      <c r="AV237" s="515"/>
      <c r="AW237" s="515"/>
      <c r="AX237" s="515"/>
      <c r="AY237" s="515"/>
      <c r="AZ237" s="515"/>
      <c r="BA237" s="515"/>
      <c r="BB237" s="515"/>
      <c r="BC237" s="643"/>
      <c r="BD237" s="515"/>
      <c r="BE237" s="515"/>
      <c r="BF237" s="515"/>
      <c r="BG237" s="515"/>
      <c r="BH237" s="631"/>
      <c r="BI237" s="515"/>
      <c r="BJ237" s="515"/>
      <c r="BK237" s="515"/>
      <c r="BL237" s="515"/>
      <c r="BM237" s="515"/>
      <c r="BN237" s="515"/>
      <c r="BO237" s="516"/>
    </row>
    <row r="238" spans="1:67" s="517" customFormat="1">
      <c r="A238"/>
      <c r="B238" s="107"/>
      <c r="C238" s="107"/>
      <c r="D238" s="107"/>
      <c r="E238" s="107"/>
      <c r="F238" s="107"/>
      <c r="G238"/>
      <c r="H238"/>
      <c r="I238" s="29"/>
      <c r="J238"/>
      <c r="K238" s="16"/>
      <c r="L238"/>
      <c r="M238" s="108"/>
      <c r="N238" s="102"/>
      <c r="O238" s="28"/>
      <c r="P238" s="103"/>
      <c r="Q238" s="102"/>
      <c r="R238" s="16"/>
      <c r="S238" s="104"/>
      <c r="T238" s="16"/>
      <c r="U238" s="104"/>
      <c r="V238" s="16"/>
      <c r="W238" s="104"/>
      <c r="X238" s="16"/>
      <c r="Y238" s="104"/>
      <c r="Z238" s="16"/>
      <c r="AA238" s="16"/>
      <c r="AB238" s="16"/>
      <c r="AC238" s="16"/>
      <c r="AD238" s="102"/>
      <c r="AE238" s="467"/>
      <c r="AF238" s="106"/>
      <c r="AG238" s="11"/>
      <c r="AH238" s="11"/>
      <c r="AI238" s="143"/>
      <c r="AJ238" s="105"/>
      <c r="AK238" s="519"/>
      <c r="AL238" s="519"/>
      <c r="AM238" s="519"/>
      <c r="AN238" s="519"/>
      <c r="AO238" s="519"/>
      <c r="AP238" s="519"/>
      <c r="AQ238" s="515"/>
      <c r="AR238" s="519"/>
      <c r="AS238" s="515"/>
      <c r="AT238" s="515"/>
      <c r="AU238" s="515"/>
      <c r="AV238" s="515"/>
      <c r="AW238" s="515"/>
      <c r="AX238" s="515"/>
      <c r="AY238" s="515"/>
      <c r="AZ238" s="515"/>
      <c r="BA238" s="515"/>
      <c r="BB238" s="515"/>
      <c r="BC238" s="643"/>
      <c r="BD238" s="515"/>
      <c r="BE238" s="515"/>
      <c r="BF238" s="515"/>
      <c r="BG238" s="515"/>
      <c r="BH238" s="631"/>
      <c r="BI238" s="515"/>
      <c r="BJ238" s="515"/>
      <c r="BK238" s="515"/>
      <c r="BL238" s="515"/>
      <c r="BM238" s="515"/>
      <c r="BN238" s="515"/>
      <c r="BO238" s="516"/>
    </row>
    <row r="239" spans="1:67" s="517" customFormat="1">
      <c r="A239"/>
      <c r="B239" s="107"/>
      <c r="C239" s="107"/>
      <c r="D239" s="107"/>
      <c r="E239" s="107"/>
      <c r="F239" s="107"/>
      <c r="G239"/>
      <c r="H239"/>
      <c r="I239" s="29"/>
      <c r="J239"/>
      <c r="K239" s="16"/>
      <c r="L239"/>
      <c r="M239" s="108"/>
      <c r="N239" s="102"/>
      <c r="O239" s="28"/>
      <c r="P239" s="103"/>
      <c r="Q239" s="102"/>
      <c r="R239" s="16"/>
      <c r="S239" s="104"/>
      <c r="T239" s="16"/>
      <c r="U239" s="104"/>
      <c r="V239" s="16"/>
      <c r="W239" s="104"/>
      <c r="X239" s="16"/>
      <c r="Y239" s="104"/>
      <c r="Z239" s="16"/>
      <c r="AA239" s="16"/>
      <c r="AB239" s="16"/>
      <c r="AC239" s="16"/>
      <c r="AD239" s="102"/>
      <c r="AE239" s="467"/>
      <c r="AF239" s="106"/>
      <c r="AG239" s="11"/>
      <c r="AH239" s="11"/>
      <c r="AI239" s="143"/>
      <c r="AJ239" s="105"/>
      <c r="AK239" s="519"/>
      <c r="AL239" s="519"/>
      <c r="AM239" s="519"/>
      <c r="AN239" s="519"/>
      <c r="AO239" s="519"/>
      <c r="AP239" s="519"/>
      <c r="AQ239" s="515"/>
      <c r="AR239" s="519"/>
      <c r="AS239" s="515"/>
      <c r="AT239" s="515"/>
      <c r="AU239" s="515"/>
      <c r="AV239" s="515"/>
      <c r="AW239" s="515"/>
      <c r="AX239" s="515"/>
      <c r="AY239" s="515"/>
      <c r="AZ239" s="515"/>
      <c r="BA239" s="515"/>
      <c r="BB239" s="515"/>
      <c r="BC239" s="643"/>
      <c r="BD239" s="515"/>
      <c r="BE239" s="515"/>
      <c r="BF239" s="515"/>
      <c r="BG239" s="515"/>
      <c r="BH239" s="631"/>
      <c r="BI239" s="515"/>
      <c r="BJ239" s="515"/>
      <c r="BK239" s="515"/>
      <c r="BL239" s="515"/>
      <c r="BM239" s="515"/>
      <c r="BN239" s="515"/>
      <c r="BO239" s="516"/>
    </row>
    <row r="240" spans="1:67" s="517" customFormat="1">
      <c r="A240"/>
      <c r="B240" s="107"/>
      <c r="C240" s="107"/>
      <c r="D240" s="107"/>
      <c r="E240" s="107"/>
      <c r="F240" s="107"/>
      <c r="G240"/>
      <c r="H240"/>
      <c r="I240" s="29"/>
      <c r="J240"/>
      <c r="K240" s="16"/>
      <c r="L240"/>
      <c r="M240" s="108"/>
      <c r="N240" s="102"/>
      <c r="O240" s="28"/>
      <c r="P240" s="103"/>
      <c r="Q240" s="102"/>
      <c r="R240" s="16"/>
      <c r="S240" s="104"/>
      <c r="T240" s="16"/>
      <c r="U240" s="104"/>
      <c r="V240" s="16"/>
      <c r="W240" s="104"/>
      <c r="X240" s="16"/>
      <c r="Y240" s="104"/>
      <c r="Z240" s="16"/>
      <c r="AA240" s="16"/>
      <c r="AB240" s="16"/>
      <c r="AC240" s="16"/>
      <c r="AD240" s="102"/>
      <c r="AE240" s="467"/>
      <c r="AF240" s="106"/>
      <c r="AG240" s="11"/>
      <c r="AH240" s="11"/>
      <c r="AI240" s="143"/>
      <c r="AJ240" s="105"/>
      <c r="AK240" s="519"/>
      <c r="AL240" s="519"/>
      <c r="AM240" s="519"/>
      <c r="AN240" s="519"/>
      <c r="AO240" s="519"/>
      <c r="AP240" s="519"/>
      <c r="AQ240" s="515"/>
      <c r="AR240" s="519"/>
      <c r="AS240" s="515"/>
      <c r="AT240" s="515"/>
      <c r="AU240" s="515"/>
      <c r="AV240" s="515"/>
      <c r="AW240" s="515"/>
      <c r="AX240" s="515"/>
      <c r="AY240" s="515"/>
      <c r="AZ240" s="515"/>
      <c r="BA240" s="515"/>
      <c r="BB240" s="515"/>
      <c r="BC240" s="643"/>
      <c r="BD240" s="515"/>
      <c r="BE240" s="515"/>
      <c r="BF240" s="515"/>
      <c r="BG240" s="515"/>
      <c r="BH240" s="631"/>
      <c r="BI240" s="515"/>
      <c r="BJ240" s="515"/>
      <c r="BK240" s="515"/>
      <c r="BL240" s="515"/>
      <c r="BM240" s="515"/>
      <c r="BN240" s="515"/>
      <c r="BO240" s="516"/>
    </row>
    <row r="241" spans="1:67" s="517" customFormat="1">
      <c r="A241"/>
      <c r="B241" s="107"/>
      <c r="C241" s="107"/>
      <c r="D241" s="107"/>
      <c r="E241" s="107"/>
      <c r="F241" s="107"/>
      <c r="G241"/>
      <c r="H241"/>
      <c r="I241" s="29"/>
      <c r="J241"/>
      <c r="K241" s="16"/>
      <c r="L241"/>
      <c r="M241" s="108"/>
      <c r="N241" s="102"/>
      <c r="O241" s="28"/>
      <c r="P241" s="103"/>
      <c r="Q241" s="102"/>
      <c r="R241" s="16"/>
      <c r="S241" s="104"/>
      <c r="T241" s="16"/>
      <c r="U241" s="104"/>
      <c r="V241" s="16"/>
      <c r="W241" s="104"/>
      <c r="X241" s="16"/>
      <c r="Y241" s="104"/>
      <c r="Z241" s="16"/>
      <c r="AA241" s="16"/>
      <c r="AB241" s="16"/>
      <c r="AC241" s="16"/>
      <c r="AD241" s="102"/>
      <c r="AE241" s="467"/>
      <c r="AF241" s="106"/>
      <c r="AG241" s="11"/>
      <c r="AH241" s="11"/>
      <c r="AI241" s="143"/>
      <c r="AJ241" s="105"/>
      <c r="AK241" s="519"/>
      <c r="AL241" s="519"/>
      <c r="AM241" s="519"/>
      <c r="AN241" s="519"/>
      <c r="AO241" s="519"/>
      <c r="AP241" s="519"/>
      <c r="AQ241" s="515"/>
      <c r="AR241" s="519"/>
      <c r="AS241" s="515"/>
      <c r="AT241" s="515"/>
      <c r="AU241" s="515"/>
      <c r="AV241" s="515"/>
      <c r="AW241" s="515"/>
      <c r="AX241" s="515"/>
      <c r="AY241" s="515"/>
      <c r="AZ241" s="515"/>
      <c r="BA241" s="515"/>
      <c r="BB241" s="515"/>
      <c r="BC241" s="643"/>
      <c r="BD241" s="515"/>
      <c r="BE241" s="515"/>
      <c r="BF241" s="515"/>
      <c r="BG241" s="515"/>
      <c r="BH241" s="631"/>
      <c r="BI241" s="515"/>
      <c r="BJ241" s="515"/>
      <c r="BK241" s="515"/>
      <c r="BL241" s="515"/>
      <c r="BM241" s="515"/>
      <c r="BN241" s="515"/>
      <c r="BO241" s="516"/>
    </row>
    <row r="242" spans="1:67" s="517" customFormat="1">
      <c r="A242"/>
      <c r="B242" s="107"/>
      <c r="C242" s="107"/>
      <c r="D242" s="107"/>
      <c r="E242" s="107"/>
      <c r="F242" s="107"/>
      <c r="G242"/>
      <c r="H242"/>
      <c r="I242" s="29"/>
      <c r="J242"/>
      <c r="K242" s="16"/>
      <c r="L242"/>
      <c r="M242" s="108"/>
      <c r="N242" s="102"/>
      <c r="O242" s="28"/>
      <c r="P242" s="103"/>
      <c r="Q242" s="102"/>
      <c r="R242" s="16"/>
      <c r="S242" s="104"/>
      <c r="T242" s="16"/>
      <c r="U242" s="104"/>
      <c r="V242" s="16"/>
      <c r="W242" s="104"/>
      <c r="X242" s="16"/>
      <c r="Y242" s="104"/>
      <c r="Z242" s="16"/>
      <c r="AA242" s="16"/>
      <c r="AB242" s="16"/>
      <c r="AC242" s="16"/>
      <c r="AD242" s="102"/>
      <c r="AE242" s="467"/>
      <c r="AF242" s="106"/>
      <c r="AG242" s="11"/>
      <c r="AH242" s="11"/>
      <c r="AI242" s="143"/>
      <c r="AJ242" s="105"/>
      <c r="AK242" s="519"/>
      <c r="AL242" s="519"/>
      <c r="AM242" s="519"/>
      <c r="AN242" s="519"/>
      <c r="AO242" s="519"/>
      <c r="AP242" s="519"/>
      <c r="AQ242" s="515"/>
      <c r="AR242" s="519"/>
      <c r="AS242" s="515"/>
      <c r="AT242" s="515"/>
      <c r="AU242" s="515"/>
      <c r="AV242" s="515"/>
      <c r="AW242" s="515"/>
      <c r="AX242" s="515"/>
      <c r="AY242" s="515"/>
      <c r="AZ242" s="515"/>
      <c r="BA242" s="515"/>
      <c r="BB242" s="515"/>
      <c r="BC242" s="643"/>
      <c r="BD242" s="515"/>
      <c r="BE242" s="515"/>
      <c r="BF242" s="515"/>
      <c r="BG242" s="515"/>
      <c r="BH242" s="631"/>
      <c r="BI242" s="515"/>
      <c r="BJ242" s="515"/>
      <c r="BK242" s="515"/>
      <c r="BL242" s="515"/>
      <c r="BM242" s="515"/>
      <c r="BN242" s="515"/>
      <c r="BO242" s="516"/>
    </row>
    <row r="243" spans="1:67" s="517" customFormat="1">
      <c r="A243"/>
      <c r="B243" s="107"/>
      <c r="C243" s="107"/>
      <c r="D243" s="107"/>
      <c r="E243" s="107"/>
      <c r="F243" s="107"/>
      <c r="G243"/>
      <c r="H243"/>
      <c r="I243" s="29"/>
      <c r="J243"/>
      <c r="K243" s="16"/>
      <c r="L243"/>
      <c r="M243" s="108"/>
      <c r="N243" s="102"/>
      <c r="O243" s="28"/>
      <c r="P243" s="103"/>
      <c r="Q243" s="102"/>
      <c r="R243" s="16"/>
      <c r="S243" s="104"/>
      <c r="T243" s="16"/>
      <c r="U243" s="104"/>
      <c r="V243" s="16"/>
      <c r="W243" s="104"/>
      <c r="X243" s="16"/>
      <c r="Y243" s="104"/>
      <c r="Z243" s="16"/>
      <c r="AA243" s="16"/>
      <c r="AB243" s="16"/>
      <c r="AC243" s="16"/>
      <c r="AD243" s="102"/>
      <c r="AE243" s="467"/>
      <c r="AF243" s="106"/>
      <c r="AG243" s="11"/>
      <c r="AH243" s="11"/>
      <c r="AI243" s="143"/>
      <c r="AJ243" s="105"/>
      <c r="AK243" s="519"/>
      <c r="AL243" s="519"/>
      <c r="AM243" s="519"/>
      <c r="AN243" s="519"/>
      <c r="AO243" s="519"/>
      <c r="AP243" s="519"/>
      <c r="AQ243" s="515"/>
      <c r="AR243" s="519"/>
      <c r="AS243" s="515"/>
      <c r="AT243" s="515"/>
      <c r="AU243" s="515"/>
      <c r="AV243" s="515"/>
      <c r="AW243" s="515"/>
      <c r="AX243" s="515"/>
      <c r="AY243" s="515"/>
      <c r="AZ243" s="515"/>
      <c r="BA243" s="515"/>
      <c r="BB243" s="515"/>
      <c r="BC243" s="643"/>
      <c r="BD243" s="515"/>
      <c r="BE243" s="515"/>
      <c r="BF243" s="515"/>
      <c r="BG243" s="515"/>
      <c r="BH243" s="631"/>
      <c r="BI243" s="515"/>
      <c r="BJ243" s="515"/>
      <c r="BK243" s="515"/>
      <c r="BL243" s="515"/>
      <c r="BM243" s="515"/>
      <c r="BN243" s="515"/>
      <c r="BO243" s="516"/>
    </row>
    <row r="244" spans="1:67" s="517" customFormat="1">
      <c r="A244"/>
      <c r="B244" s="107"/>
      <c r="C244" s="107"/>
      <c r="D244" s="107"/>
      <c r="E244" s="107"/>
      <c r="F244" s="107"/>
      <c r="G244"/>
      <c r="H244"/>
      <c r="I244" s="29"/>
      <c r="J244"/>
      <c r="K244" s="16"/>
      <c r="L244"/>
      <c r="M244" s="108"/>
      <c r="N244" s="102"/>
      <c r="O244" s="28"/>
      <c r="P244" s="103"/>
      <c r="Q244" s="102"/>
      <c r="R244" s="16"/>
      <c r="S244" s="104"/>
      <c r="T244" s="16"/>
      <c r="U244" s="104"/>
      <c r="V244" s="16"/>
      <c r="W244" s="104"/>
      <c r="X244" s="16"/>
      <c r="Y244" s="104"/>
      <c r="Z244" s="16"/>
      <c r="AA244" s="16"/>
      <c r="AB244" s="16"/>
      <c r="AC244" s="16"/>
      <c r="AD244" s="102"/>
      <c r="AE244" s="467"/>
      <c r="AF244" s="106"/>
      <c r="AG244" s="11"/>
      <c r="AH244" s="11"/>
      <c r="AI244" s="143"/>
      <c r="AJ244" s="105"/>
      <c r="AK244" s="519"/>
      <c r="AL244" s="519"/>
      <c r="AM244" s="519"/>
      <c r="AN244" s="519"/>
      <c r="AO244" s="519"/>
      <c r="AP244" s="519"/>
      <c r="AQ244" s="515"/>
      <c r="AR244" s="519"/>
      <c r="AS244" s="515"/>
      <c r="AT244" s="515"/>
      <c r="AU244" s="515"/>
      <c r="AV244" s="515"/>
      <c r="AW244" s="515"/>
      <c r="AX244" s="515"/>
      <c r="AY244" s="515"/>
      <c r="AZ244" s="515"/>
      <c r="BA244" s="515"/>
      <c r="BB244" s="515"/>
      <c r="BC244" s="643"/>
      <c r="BD244" s="515"/>
      <c r="BE244" s="515"/>
      <c r="BF244" s="515"/>
      <c r="BG244" s="515"/>
      <c r="BH244" s="631"/>
      <c r="BI244" s="515"/>
      <c r="BJ244" s="515"/>
      <c r="BK244" s="515"/>
      <c r="BL244" s="515"/>
      <c r="BM244" s="515"/>
      <c r="BN244" s="515"/>
      <c r="BO244" s="516"/>
    </row>
    <row r="245" spans="1:67" s="517" customFormat="1">
      <c r="A245"/>
      <c r="B245" s="107"/>
      <c r="C245" s="107"/>
      <c r="D245" s="107"/>
      <c r="E245" s="107"/>
      <c r="F245" s="107"/>
      <c r="G245"/>
      <c r="H245"/>
      <c r="I245" s="29"/>
      <c r="J245"/>
      <c r="K245" s="16"/>
      <c r="L245"/>
      <c r="M245" s="108"/>
      <c r="N245" s="102"/>
      <c r="O245" s="28"/>
      <c r="P245" s="103"/>
      <c r="Q245" s="102"/>
      <c r="R245" s="16"/>
      <c r="S245" s="104"/>
      <c r="T245" s="16"/>
      <c r="U245" s="104"/>
      <c r="V245" s="16"/>
      <c r="W245" s="104"/>
      <c r="X245" s="16"/>
      <c r="Y245" s="104"/>
      <c r="Z245" s="16"/>
      <c r="AA245" s="16"/>
      <c r="AB245" s="16"/>
      <c r="AC245" s="16"/>
      <c r="AD245" s="102"/>
      <c r="AE245" s="467"/>
      <c r="AF245" s="106"/>
      <c r="AG245" s="11"/>
      <c r="AH245" s="11"/>
      <c r="AI245" s="143"/>
      <c r="AJ245" s="105"/>
      <c r="AK245" s="519"/>
      <c r="AL245" s="519"/>
      <c r="AM245" s="519"/>
      <c r="AN245" s="519"/>
      <c r="AO245" s="519"/>
      <c r="AP245" s="519"/>
      <c r="AQ245" s="515"/>
      <c r="AR245" s="519"/>
      <c r="AS245" s="515"/>
      <c r="AT245" s="515"/>
      <c r="AU245" s="515"/>
      <c r="AV245" s="515"/>
      <c r="AW245" s="515"/>
      <c r="AX245" s="515"/>
      <c r="AY245" s="515"/>
      <c r="AZ245" s="515"/>
      <c r="BA245" s="515"/>
      <c r="BB245" s="515"/>
      <c r="BC245" s="643"/>
      <c r="BD245" s="515"/>
      <c r="BE245" s="515"/>
      <c r="BF245" s="515"/>
      <c r="BG245" s="515"/>
      <c r="BH245" s="631"/>
      <c r="BI245" s="515"/>
      <c r="BJ245" s="515"/>
      <c r="BK245" s="515"/>
      <c r="BL245" s="515"/>
      <c r="BM245" s="515"/>
      <c r="BN245" s="515"/>
      <c r="BO245" s="516"/>
    </row>
    <row r="246" spans="1:67" s="517" customFormat="1">
      <c r="A246"/>
      <c r="B246" s="107"/>
      <c r="C246" s="107"/>
      <c r="D246" s="107"/>
      <c r="E246" s="107"/>
      <c r="F246" s="107"/>
      <c r="G246"/>
      <c r="H246"/>
      <c r="I246" s="29"/>
      <c r="J246"/>
      <c r="K246" s="16"/>
      <c r="L246"/>
      <c r="M246" s="108"/>
      <c r="N246" s="102"/>
      <c r="O246" s="28"/>
      <c r="P246" s="103"/>
      <c r="Q246" s="102"/>
      <c r="R246" s="16"/>
      <c r="S246" s="104"/>
      <c r="T246" s="16"/>
      <c r="U246" s="104"/>
      <c r="V246" s="16"/>
      <c r="W246" s="104"/>
      <c r="X246" s="16"/>
      <c r="Y246" s="104"/>
      <c r="Z246" s="16"/>
      <c r="AA246" s="16"/>
      <c r="AB246" s="16"/>
      <c r="AC246" s="16"/>
      <c r="AD246" s="102"/>
      <c r="AE246" s="467"/>
      <c r="AF246" s="106"/>
      <c r="AG246" s="11"/>
      <c r="AH246" s="11"/>
      <c r="AI246" s="143"/>
      <c r="AJ246" s="105"/>
      <c r="AK246" s="519"/>
      <c r="AL246" s="519"/>
      <c r="AM246" s="519"/>
      <c r="AN246" s="519"/>
      <c r="AO246" s="519"/>
      <c r="AP246" s="519"/>
      <c r="AQ246" s="515"/>
      <c r="AR246" s="519"/>
      <c r="AS246" s="515"/>
      <c r="AT246" s="515"/>
      <c r="AU246" s="515"/>
      <c r="AV246" s="515"/>
      <c r="AW246" s="515"/>
      <c r="AX246" s="515"/>
      <c r="AY246" s="515"/>
      <c r="AZ246" s="515"/>
      <c r="BA246" s="515"/>
      <c r="BB246" s="515"/>
      <c r="BC246" s="643"/>
      <c r="BD246" s="515"/>
      <c r="BE246" s="515"/>
      <c r="BF246" s="515"/>
      <c r="BG246" s="515"/>
      <c r="BH246" s="631"/>
      <c r="BI246" s="515"/>
      <c r="BJ246" s="515"/>
      <c r="BK246" s="515"/>
      <c r="BL246" s="515"/>
      <c r="BM246" s="515"/>
      <c r="BN246" s="515"/>
      <c r="BO246" s="516"/>
    </row>
    <row r="247" spans="1:67" s="517" customFormat="1">
      <c r="A247"/>
      <c r="B247" s="107"/>
      <c r="C247" s="107"/>
      <c r="D247" s="107"/>
      <c r="E247" s="107"/>
      <c r="F247" s="107"/>
      <c r="G247"/>
      <c r="H247"/>
      <c r="I247" s="29"/>
      <c r="J247"/>
      <c r="K247" s="16"/>
      <c r="L247"/>
      <c r="M247" s="108"/>
      <c r="N247" s="102"/>
      <c r="O247" s="28"/>
      <c r="P247" s="103"/>
      <c r="Q247" s="102"/>
      <c r="R247" s="16"/>
      <c r="S247" s="104"/>
      <c r="T247" s="16"/>
      <c r="U247" s="104"/>
      <c r="V247" s="16"/>
      <c r="W247" s="104"/>
      <c r="X247" s="16"/>
      <c r="Y247" s="104"/>
      <c r="Z247" s="16"/>
      <c r="AA247" s="16"/>
      <c r="AB247" s="16"/>
      <c r="AC247" s="16"/>
      <c r="AD247" s="102"/>
      <c r="AE247" s="467"/>
      <c r="AF247" s="106"/>
      <c r="AG247" s="11"/>
      <c r="AH247" s="11"/>
      <c r="AI247" s="143"/>
      <c r="AJ247" s="105"/>
      <c r="AK247" s="519"/>
      <c r="AL247" s="519"/>
      <c r="AM247" s="519"/>
      <c r="AN247" s="519"/>
      <c r="AO247" s="519"/>
      <c r="AP247" s="519"/>
      <c r="AQ247" s="515"/>
      <c r="AR247" s="519"/>
      <c r="AS247" s="515"/>
      <c r="AT247" s="515"/>
      <c r="AU247" s="515"/>
      <c r="AV247" s="515"/>
      <c r="AW247" s="515"/>
      <c r="AX247" s="515"/>
      <c r="AY247" s="515"/>
      <c r="AZ247" s="515"/>
      <c r="BA247" s="515"/>
      <c r="BB247" s="515"/>
      <c r="BC247" s="643"/>
      <c r="BD247" s="515"/>
      <c r="BE247" s="515"/>
      <c r="BF247" s="515"/>
      <c r="BG247" s="515"/>
      <c r="BH247" s="631"/>
      <c r="BI247" s="515"/>
      <c r="BJ247" s="515"/>
      <c r="BK247" s="515"/>
      <c r="BL247" s="515"/>
      <c r="BM247" s="515"/>
      <c r="BN247" s="515"/>
      <c r="BO247" s="516"/>
    </row>
    <row r="248" spans="1:67" s="517" customFormat="1">
      <c r="A248"/>
      <c r="B248" s="107"/>
      <c r="C248" s="107"/>
      <c r="D248" s="107"/>
      <c r="E248" s="107"/>
      <c r="F248" s="107"/>
      <c r="G248"/>
      <c r="H248"/>
      <c r="I248" s="29"/>
      <c r="J248"/>
      <c r="K248" s="16"/>
      <c r="L248"/>
      <c r="M248" s="108"/>
      <c r="N248" s="102"/>
      <c r="O248" s="28"/>
      <c r="P248" s="103"/>
      <c r="Q248" s="102"/>
      <c r="R248" s="16"/>
      <c r="S248" s="104"/>
      <c r="T248" s="16"/>
      <c r="U248" s="104"/>
      <c r="V248" s="16"/>
      <c r="W248" s="104"/>
      <c r="X248" s="16"/>
      <c r="Y248" s="104"/>
      <c r="Z248" s="16"/>
      <c r="AA248" s="16"/>
      <c r="AB248" s="16"/>
      <c r="AC248" s="16"/>
      <c r="AD248" s="102"/>
      <c r="AE248" s="467"/>
      <c r="AF248" s="106"/>
      <c r="AG248" s="11"/>
      <c r="AH248" s="11"/>
      <c r="AI248" s="143"/>
      <c r="AJ248" s="105"/>
      <c r="AK248" s="519"/>
      <c r="AL248" s="519"/>
      <c r="AM248" s="519"/>
      <c r="AN248" s="519"/>
      <c r="AO248" s="519"/>
      <c r="AP248" s="519"/>
      <c r="AQ248" s="515"/>
      <c r="AR248" s="519"/>
      <c r="AS248" s="515"/>
      <c r="AT248" s="515"/>
      <c r="AU248" s="515"/>
      <c r="AV248" s="515"/>
      <c r="AW248" s="515"/>
      <c r="AX248" s="515"/>
      <c r="AY248" s="515"/>
      <c r="AZ248" s="515"/>
      <c r="BA248" s="515"/>
      <c r="BB248" s="515"/>
      <c r="BC248" s="643"/>
      <c r="BD248" s="515"/>
      <c r="BE248" s="515"/>
      <c r="BF248" s="515"/>
      <c r="BG248" s="515"/>
      <c r="BH248" s="631"/>
      <c r="BI248" s="515"/>
      <c r="BJ248" s="515"/>
      <c r="BK248" s="515"/>
      <c r="BL248" s="515"/>
      <c r="BM248" s="515"/>
      <c r="BN248" s="515"/>
      <c r="BO248" s="516"/>
    </row>
    <row r="249" spans="1:67" s="517" customFormat="1">
      <c r="A249"/>
      <c r="B249" s="107"/>
      <c r="C249" s="107"/>
      <c r="D249" s="107"/>
      <c r="E249" s="107"/>
      <c r="F249" s="107"/>
      <c r="G249"/>
      <c r="H249"/>
      <c r="I249" s="29"/>
      <c r="J249"/>
      <c r="K249" s="16"/>
      <c r="L249"/>
      <c r="M249" s="108"/>
      <c r="N249" s="102"/>
      <c r="O249" s="28"/>
      <c r="P249" s="103"/>
      <c r="Q249" s="102"/>
      <c r="R249" s="16"/>
      <c r="S249" s="104"/>
      <c r="T249" s="16"/>
      <c r="U249" s="104"/>
      <c r="V249" s="16"/>
      <c r="W249" s="104"/>
      <c r="X249" s="16"/>
      <c r="Y249" s="104"/>
      <c r="Z249" s="16"/>
      <c r="AA249" s="16"/>
      <c r="AB249" s="16"/>
      <c r="AC249" s="16"/>
      <c r="AD249" s="102"/>
      <c r="AE249" s="467"/>
      <c r="AF249" s="106"/>
      <c r="AG249" s="11"/>
      <c r="AH249" s="11"/>
      <c r="AI249" s="143"/>
      <c r="AJ249" s="105"/>
      <c r="AK249" s="519"/>
      <c r="AL249" s="519"/>
      <c r="AM249" s="519"/>
      <c r="AN249" s="519"/>
      <c r="AO249" s="519"/>
      <c r="AP249" s="519"/>
      <c r="AQ249" s="515"/>
      <c r="AR249" s="519"/>
      <c r="AS249" s="515"/>
      <c r="AT249" s="515"/>
      <c r="AU249" s="515"/>
      <c r="AV249" s="515"/>
      <c r="AW249" s="515"/>
      <c r="AX249" s="515"/>
      <c r="AY249" s="515"/>
      <c r="AZ249" s="515"/>
      <c r="BA249" s="515"/>
      <c r="BB249" s="515"/>
      <c r="BC249" s="643"/>
      <c r="BD249" s="515"/>
      <c r="BE249" s="515"/>
      <c r="BF249" s="515"/>
      <c r="BG249" s="515"/>
      <c r="BH249" s="631"/>
      <c r="BI249" s="515"/>
      <c r="BJ249" s="515"/>
      <c r="BK249" s="515"/>
      <c r="BL249" s="515"/>
      <c r="BM249" s="515"/>
      <c r="BN249" s="515"/>
      <c r="BO249" s="516"/>
    </row>
    <row r="250" spans="1:67" s="517" customFormat="1">
      <c r="A250"/>
      <c r="B250" s="107"/>
      <c r="C250" s="107"/>
      <c r="D250" s="107"/>
      <c r="E250" s="107"/>
      <c r="F250" s="107"/>
      <c r="G250"/>
      <c r="H250"/>
      <c r="I250" s="29"/>
      <c r="J250"/>
      <c r="K250" s="16"/>
      <c r="L250"/>
      <c r="M250" s="108"/>
      <c r="N250" s="102"/>
      <c r="O250" s="28"/>
      <c r="P250" s="103"/>
      <c r="Q250" s="102"/>
      <c r="R250" s="16"/>
      <c r="S250" s="104"/>
      <c r="T250" s="16"/>
      <c r="U250" s="104"/>
      <c r="V250" s="16"/>
      <c r="W250" s="104"/>
      <c r="X250" s="16"/>
      <c r="Y250" s="104"/>
      <c r="Z250" s="16"/>
      <c r="AA250" s="16"/>
      <c r="AB250" s="16"/>
      <c r="AC250" s="16"/>
      <c r="AD250" s="102"/>
      <c r="AE250" s="467"/>
      <c r="AF250" s="106"/>
      <c r="AG250" s="11"/>
      <c r="AH250" s="11"/>
      <c r="AI250" s="143"/>
      <c r="AJ250" s="105"/>
      <c r="AK250" s="519"/>
      <c r="AL250" s="519"/>
      <c r="AM250" s="519"/>
      <c r="AN250" s="519"/>
      <c r="AO250" s="519"/>
      <c r="AP250" s="519"/>
      <c r="AQ250" s="515"/>
      <c r="AR250" s="519"/>
      <c r="AS250" s="515"/>
      <c r="AT250" s="515"/>
      <c r="AU250" s="515"/>
      <c r="AV250" s="515"/>
      <c r="AW250" s="515"/>
      <c r="AX250" s="515"/>
      <c r="AY250" s="515"/>
      <c r="AZ250" s="515"/>
      <c r="BA250" s="515"/>
      <c r="BB250" s="515"/>
      <c r="BC250" s="643"/>
      <c r="BD250" s="515"/>
      <c r="BE250" s="515"/>
      <c r="BF250" s="515"/>
      <c r="BG250" s="515"/>
      <c r="BH250" s="631"/>
      <c r="BI250" s="515"/>
      <c r="BJ250" s="515"/>
      <c r="BK250" s="515"/>
      <c r="BL250" s="515"/>
      <c r="BM250" s="515"/>
      <c r="BN250" s="515"/>
      <c r="BO250" s="516"/>
    </row>
    <row r="251" spans="1:67" s="517" customFormat="1">
      <c r="A251"/>
      <c r="B251" s="107"/>
      <c r="C251" s="107"/>
      <c r="D251" s="107"/>
      <c r="E251" s="107"/>
      <c r="F251" s="107"/>
      <c r="G251"/>
      <c r="H251"/>
      <c r="I251" s="29"/>
      <c r="J251"/>
      <c r="K251" s="16"/>
      <c r="L251"/>
      <c r="M251" s="108"/>
      <c r="N251" s="102"/>
      <c r="O251" s="28"/>
      <c r="P251" s="103"/>
      <c r="Q251" s="102"/>
      <c r="R251" s="16"/>
      <c r="S251" s="104"/>
      <c r="T251" s="16"/>
      <c r="U251" s="104"/>
      <c r="V251" s="16"/>
      <c r="W251" s="104"/>
      <c r="X251" s="16"/>
      <c r="Y251" s="104"/>
      <c r="Z251" s="16"/>
      <c r="AA251" s="16"/>
      <c r="AB251" s="16"/>
      <c r="AC251" s="16"/>
      <c r="AD251" s="102"/>
      <c r="AE251" s="467"/>
      <c r="AF251" s="106"/>
      <c r="AG251" s="11"/>
      <c r="AH251" s="11"/>
      <c r="AI251" s="143"/>
      <c r="AJ251" s="105"/>
      <c r="AK251" s="519"/>
      <c r="AL251" s="519"/>
      <c r="AM251" s="519"/>
      <c r="AN251" s="519"/>
      <c r="AO251" s="519"/>
      <c r="AP251" s="519"/>
      <c r="AQ251" s="515"/>
      <c r="AR251" s="519"/>
      <c r="AS251" s="515"/>
      <c r="AT251" s="515"/>
      <c r="AU251" s="515"/>
      <c r="AV251" s="515"/>
      <c r="AW251" s="515"/>
      <c r="AX251" s="515"/>
      <c r="AY251" s="515"/>
      <c r="AZ251" s="515"/>
      <c r="BA251" s="515"/>
      <c r="BB251" s="515"/>
      <c r="BC251" s="643"/>
      <c r="BD251" s="515"/>
      <c r="BE251" s="515"/>
      <c r="BF251" s="515"/>
      <c r="BG251" s="515"/>
      <c r="BH251" s="631"/>
      <c r="BI251" s="515"/>
      <c r="BJ251" s="515"/>
      <c r="BK251" s="515"/>
      <c r="BL251" s="515"/>
      <c r="BM251" s="515"/>
      <c r="BN251" s="515"/>
      <c r="BO251" s="516"/>
    </row>
    <row r="252" spans="1:67" s="517" customFormat="1">
      <c r="A252"/>
      <c r="B252" s="107"/>
      <c r="C252" s="107"/>
      <c r="D252" s="107"/>
      <c r="E252" s="107"/>
      <c r="F252" s="107"/>
      <c r="G252"/>
      <c r="H252"/>
      <c r="I252" s="29"/>
      <c r="J252"/>
      <c r="K252" s="16"/>
      <c r="L252"/>
      <c r="M252" s="108"/>
      <c r="N252" s="102"/>
      <c r="O252" s="28"/>
      <c r="P252" s="103"/>
      <c r="Q252" s="102"/>
      <c r="R252" s="16"/>
      <c r="S252" s="104"/>
      <c r="T252" s="16"/>
      <c r="U252" s="104"/>
      <c r="V252" s="16"/>
      <c r="W252" s="104"/>
      <c r="X252" s="16"/>
      <c r="Y252" s="104"/>
      <c r="Z252" s="16"/>
      <c r="AA252" s="16"/>
      <c r="AB252" s="16"/>
      <c r="AC252" s="16"/>
      <c r="AD252" s="102"/>
      <c r="AE252" s="467"/>
      <c r="AF252" s="106"/>
      <c r="AG252" s="11"/>
      <c r="AH252" s="11"/>
      <c r="AI252" s="143"/>
      <c r="AJ252" s="105"/>
      <c r="AK252" s="519"/>
      <c r="AL252" s="519"/>
      <c r="AM252" s="519"/>
      <c r="AN252" s="519"/>
      <c r="AO252" s="519"/>
      <c r="AP252" s="519"/>
      <c r="AQ252" s="515"/>
      <c r="AR252" s="519"/>
      <c r="AS252" s="515"/>
      <c r="AT252" s="515"/>
      <c r="AU252" s="515"/>
      <c r="AV252" s="515"/>
      <c r="AW252" s="515"/>
      <c r="AX252" s="515"/>
      <c r="AY252" s="515"/>
      <c r="AZ252" s="515"/>
      <c r="BA252" s="515"/>
      <c r="BB252" s="515"/>
      <c r="BC252" s="643"/>
      <c r="BD252" s="515"/>
      <c r="BE252" s="515"/>
      <c r="BF252" s="515"/>
      <c r="BG252" s="515"/>
      <c r="BH252" s="631"/>
      <c r="BI252" s="515"/>
      <c r="BJ252" s="515"/>
      <c r="BK252" s="515"/>
      <c r="BL252" s="515"/>
      <c r="BM252" s="515"/>
      <c r="BN252" s="515"/>
      <c r="BO252" s="516"/>
    </row>
    <row r="253" spans="1:67" s="517" customFormat="1">
      <c r="A253"/>
      <c r="B253" s="107"/>
      <c r="C253" s="107"/>
      <c r="D253" s="107"/>
      <c r="E253" s="107"/>
      <c r="F253" s="107"/>
      <c r="G253"/>
      <c r="H253"/>
      <c r="I253" s="29"/>
      <c r="J253"/>
      <c r="K253" s="16"/>
      <c r="L253"/>
      <c r="M253" s="108"/>
      <c r="N253" s="102"/>
      <c r="O253" s="28"/>
      <c r="P253" s="103"/>
      <c r="Q253" s="102"/>
      <c r="R253" s="16"/>
      <c r="S253" s="104"/>
      <c r="T253" s="16"/>
      <c r="U253" s="104"/>
      <c r="V253" s="16"/>
      <c r="W253" s="104"/>
      <c r="X253" s="16"/>
      <c r="Y253" s="104"/>
      <c r="Z253" s="16"/>
      <c r="AA253" s="16"/>
      <c r="AB253" s="16"/>
      <c r="AC253" s="16"/>
      <c r="AD253" s="102"/>
      <c r="AE253" s="467"/>
      <c r="AF253" s="106"/>
      <c r="AG253" s="11"/>
      <c r="AH253" s="11"/>
      <c r="AI253" s="143"/>
      <c r="AJ253" s="105"/>
      <c r="AK253" s="519"/>
      <c r="AL253" s="519"/>
      <c r="AM253" s="519"/>
      <c r="AN253" s="519"/>
      <c r="AO253" s="519"/>
      <c r="AP253" s="519"/>
      <c r="AQ253" s="515"/>
      <c r="AR253" s="519"/>
      <c r="AS253" s="515"/>
      <c r="AT253" s="515"/>
      <c r="AU253" s="515"/>
      <c r="AV253" s="515"/>
      <c r="AW253" s="515"/>
      <c r="AX253" s="515"/>
      <c r="AY253" s="515"/>
      <c r="AZ253" s="515"/>
      <c r="BA253" s="515"/>
      <c r="BB253" s="515"/>
      <c r="BC253" s="643"/>
      <c r="BD253" s="515"/>
      <c r="BE253" s="515"/>
      <c r="BF253" s="515"/>
      <c r="BG253" s="515"/>
      <c r="BH253" s="631"/>
      <c r="BI253" s="515"/>
      <c r="BJ253" s="515"/>
      <c r="BK253" s="515"/>
      <c r="BL253" s="515"/>
      <c r="BM253" s="515"/>
      <c r="BN253" s="515"/>
      <c r="BO253" s="516"/>
    </row>
    <row r="254" spans="1:67" s="517" customFormat="1">
      <c r="A254"/>
      <c r="B254" s="107"/>
      <c r="C254" s="107"/>
      <c r="D254" s="107"/>
      <c r="E254" s="107"/>
      <c r="F254" s="107"/>
      <c r="G254"/>
      <c r="H254"/>
      <c r="I254" s="29"/>
      <c r="J254"/>
      <c r="K254" s="16"/>
      <c r="L254"/>
      <c r="M254" s="108"/>
      <c r="N254" s="102"/>
      <c r="O254" s="28"/>
      <c r="P254" s="103"/>
      <c r="Q254" s="102"/>
      <c r="R254" s="16"/>
      <c r="S254" s="104"/>
      <c r="T254" s="16"/>
      <c r="U254" s="104"/>
      <c r="V254" s="16"/>
      <c r="W254" s="104"/>
      <c r="X254" s="16"/>
      <c r="Y254" s="104"/>
      <c r="Z254" s="16"/>
      <c r="AA254" s="16"/>
      <c r="AB254" s="16"/>
      <c r="AC254" s="16"/>
      <c r="AD254" s="102"/>
      <c r="AE254" s="467"/>
      <c r="AF254" s="106"/>
      <c r="AG254" s="11"/>
      <c r="AH254" s="11"/>
      <c r="AI254" s="143"/>
      <c r="AJ254" s="105"/>
      <c r="AK254" s="519"/>
      <c r="AL254" s="519"/>
      <c r="AM254" s="519"/>
      <c r="AN254" s="519"/>
      <c r="AO254" s="519"/>
      <c r="AP254" s="519"/>
      <c r="AQ254" s="515"/>
      <c r="AR254" s="519"/>
      <c r="AS254" s="515"/>
      <c r="AT254" s="515"/>
      <c r="AU254" s="515"/>
      <c r="AV254" s="515"/>
      <c r="AW254" s="515"/>
      <c r="AX254" s="515"/>
      <c r="AY254" s="515"/>
      <c r="AZ254" s="515"/>
      <c r="BA254" s="515"/>
      <c r="BB254" s="515"/>
      <c r="BC254" s="643"/>
      <c r="BD254" s="515"/>
      <c r="BE254" s="515"/>
      <c r="BF254" s="515"/>
      <c r="BG254" s="515"/>
      <c r="BH254" s="631"/>
      <c r="BI254" s="515"/>
      <c r="BJ254" s="515"/>
      <c r="BK254" s="515"/>
      <c r="BL254" s="515"/>
      <c r="BM254" s="515"/>
      <c r="BN254" s="515"/>
      <c r="BO254" s="516"/>
    </row>
    <row r="255" spans="1:67" s="517" customFormat="1">
      <c r="A255"/>
      <c r="B255" s="107"/>
      <c r="C255" s="107"/>
      <c r="D255" s="107"/>
      <c r="E255" s="107"/>
      <c r="F255" s="107"/>
      <c r="G255"/>
      <c r="H255"/>
      <c r="I255" s="29"/>
      <c r="J255"/>
      <c r="K255" s="16"/>
      <c r="L255"/>
      <c r="M255" s="108"/>
      <c r="N255" s="102"/>
      <c r="O255" s="28"/>
      <c r="P255" s="103"/>
      <c r="Q255" s="102"/>
      <c r="R255" s="16"/>
      <c r="S255" s="104"/>
      <c r="T255" s="16"/>
      <c r="U255" s="104"/>
      <c r="V255" s="16"/>
      <c r="W255" s="104"/>
      <c r="X255" s="16"/>
      <c r="Y255" s="104"/>
      <c r="Z255" s="16"/>
      <c r="AA255" s="16"/>
      <c r="AB255" s="16"/>
      <c r="AC255" s="16"/>
      <c r="AD255" s="102"/>
      <c r="AE255" s="467"/>
      <c r="AF255" s="106"/>
      <c r="AG255" s="11"/>
      <c r="AH255" s="11"/>
      <c r="AI255" s="143"/>
      <c r="AJ255" s="105"/>
      <c r="AK255" s="519"/>
      <c r="AL255" s="519"/>
      <c r="AM255" s="519"/>
      <c r="AN255" s="519"/>
      <c r="AO255" s="519"/>
      <c r="AP255" s="519"/>
      <c r="AQ255" s="515"/>
      <c r="AR255" s="519"/>
      <c r="AS255" s="515"/>
      <c r="AT255" s="515"/>
      <c r="AU255" s="515"/>
      <c r="AV255" s="515"/>
      <c r="AW255" s="515"/>
      <c r="AX255" s="515"/>
      <c r="AY255" s="515"/>
      <c r="AZ255" s="515"/>
      <c r="BA255" s="515"/>
      <c r="BB255" s="515"/>
      <c r="BC255" s="643"/>
      <c r="BD255" s="515"/>
      <c r="BE255" s="515"/>
      <c r="BF255" s="515"/>
      <c r="BG255" s="515"/>
      <c r="BH255" s="631"/>
      <c r="BI255" s="515"/>
      <c r="BJ255" s="515"/>
      <c r="BK255" s="515"/>
      <c r="BL255" s="515"/>
      <c r="BM255" s="515"/>
      <c r="BN255" s="515"/>
      <c r="BO255" s="516"/>
    </row>
    <row r="256" spans="1:67" s="517" customFormat="1">
      <c r="A256"/>
      <c r="B256" s="107"/>
      <c r="C256" s="107"/>
      <c r="D256" s="107"/>
      <c r="E256" s="107"/>
      <c r="F256" s="107"/>
      <c r="G256"/>
      <c r="H256"/>
      <c r="I256" s="29"/>
      <c r="J256"/>
      <c r="K256" s="16"/>
      <c r="L256"/>
      <c r="M256" s="108"/>
      <c r="N256" s="102"/>
      <c r="O256" s="28"/>
      <c r="P256" s="103"/>
      <c r="Q256" s="102"/>
      <c r="R256" s="16"/>
      <c r="S256" s="104"/>
      <c r="T256" s="16"/>
      <c r="U256" s="104"/>
      <c r="V256" s="16"/>
      <c r="W256" s="104"/>
      <c r="X256" s="16"/>
      <c r="Y256" s="104"/>
      <c r="Z256" s="16"/>
      <c r="AA256" s="16"/>
      <c r="AB256" s="16"/>
      <c r="AC256" s="16"/>
      <c r="AD256" s="102"/>
      <c r="AE256" s="467"/>
      <c r="AF256" s="106"/>
      <c r="AG256" s="11"/>
      <c r="AH256" s="11"/>
      <c r="AI256" s="143"/>
      <c r="AJ256" s="105"/>
      <c r="AK256" s="519"/>
      <c r="AL256" s="519"/>
      <c r="AM256" s="519"/>
      <c r="AN256" s="519"/>
      <c r="AO256" s="519"/>
      <c r="AP256" s="519"/>
      <c r="AQ256" s="515"/>
      <c r="AR256" s="519"/>
      <c r="AS256" s="515"/>
      <c r="AT256" s="515"/>
      <c r="AU256" s="515"/>
      <c r="AV256" s="515"/>
      <c r="AW256" s="515"/>
      <c r="AX256" s="515"/>
      <c r="AY256" s="515"/>
      <c r="AZ256" s="515"/>
      <c r="BA256" s="515"/>
      <c r="BB256" s="515"/>
      <c r="BC256" s="643"/>
      <c r="BD256" s="515"/>
      <c r="BE256" s="515"/>
      <c r="BF256" s="515"/>
      <c r="BG256" s="515"/>
      <c r="BH256" s="631"/>
      <c r="BI256" s="515"/>
      <c r="BJ256" s="515"/>
      <c r="BK256" s="515"/>
      <c r="BL256" s="515"/>
      <c r="BM256" s="515"/>
      <c r="BN256" s="515"/>
      <c r="BO256" s="516"/>
    </row>
    <row r="257" spans="1:67" s="517" customFormat="1">
      <c r="A257"/>
      <c r="B257" s="107"/>
      <c r="C257" s="107"/>
      <c r="D257" s="107"/>
      <c r="E257" s="107"/>
      <c r="F257" s="107"/>
      <c r="G257"/>
      <c r="H257"/>
      <c r="I257" s="29"/>
      <c r="J257"/>
      <c r="K257" s="16"/>
      <c r="L257"/>
      <c r="M257" s="108"/>
      <c r="N257" s="102"/>
      <c r="O257" s="28"/>
      <c r="P257" s="103"/>
      <c r="Q257" s="102"/>
      <c r="R257" s="16"/>
      <c r="S257" s="104"/>
      <c r="T257" s="16"/>
      <c r="U257" s="104"/>
      <c r="V257" s="16"/>
      <c r="W257" s="104"/>
      <c r="X257" s="16"/>
      <c r="Y257" s="104"/>
      <c r="Z257" s="16"/>
      <c r="AA257" s="16"/>
      <c r="AB257" s="16"/>
      <c r="AC257" s="16"/>
      <c r="AD257" s="102"/>
      <c r="AE257" s="467"/>
      <c r="AF257" s="106"/>
      <c r="AG257" s="11"/>
      <c r="AH257" s="11"/>
      <c r="AI257" s="143"/>
      <c r="AJ257" s="105"/>
      <c r="AK257" s="519"/>
      <c r="AL257" s="519"/>
      <c r="AM257" s="519"/>
      <c r="AN257" s="519"/>
      <c r="AO257" s="519"/>
      <c r="AP257" s="519"/>
      <c r="AQ257" s="515"/>
      <c r="AR257" s="519"/>
      <c r="AS257" s="515"/>
      <c r="AT257" s="515"/>
      <c r="AU257" s="515"/>
      <c r="AV257" s="515"/>
      <c r="AW257" s="515"/>
      <c r="AX257" s="515"/>
      <c r="AY257" s="515"/>
      <c r="AZ257" s="515"/>
      <c r="BA257" s="515"/>
      <c r="BB257" s="515"/>
      <c r="BC257" s="643"/>
      <c r="BD257" s="515"/>
      <c r="BE257" s="515"/>
      <c r="BF257" s="515"/>
      <c r="BG257" s="515"/>
      <c r="BH257" s="631"/>
      <c r="BI257" s="515"/>
      <c r="BJ257" s="515"/>
      <c r="BK257" s="515"/>
      <c r="BL257" s="515"/>
      <c r="BM257" s="515"/>
      <c r="BN257" s="515"/>
      <c r="BO257" s="516"/>
    </row>
    <row r="258" spans="1:67" s="517" customFormat="1">
      <c r="A258"/>
      <c r="B258" s="107"/>
      <c r="C258" s="107"/>
      <c r="D258" s="107"/>
      <c r="E258" s="107"/>
      <c r="F258" s="107"/>
      <c r="G258"/>
      <c r="H258"/>
      <c r="I258" s="29"/>
      <c r="J258"/>
      <c r="K258" s="16"/>
      <c r="L258"/>
      <c r="M258" s="108"/>
      <c r="N258" s="102"/>
      <c r="O258" s="28"/>
      <c r="P258" s="103"/>
      <c r="Q258" s="102"/>
      <c r="R258" s="16"/>
      <c r="S258" s="104"/>
      <c r="T258" s="16"/>
      <c r="U258" s="104"/>
      <c r="V258" s="16"/>
      <c r="W258" s="104"/>
      <c r="X258" s="16"/>
      <c r="Y258" s="104"/>
      <c r="Z258" s="16"/>
      <c r="AA258" s="16"/>
      <c r="AB258" s="16"/>
      <c r="AC258" s="16"/>
      <c r="AD258" s="102"/>
      <c r="AE258" s="467"/>
      <c r="AF258" s="106"/>
      <c r="AG258" s="11"/>
      <c r="AH258" s="11"/>
      <c r="AI258" s="143"/>
      <c r="AJ258" s="105"/>
      <c r="AK258" s="519"/>
      <c r="AL258" s="519"/>
      <c r="AM258" s="519"/>
      <c r="AN258" s="519"/>
      <c r="AO258" s="519"/>
      <c r="AP258" s="519"/>
      <c r="AQ258" s="515"/>
      <c r="AR258" s="519"/>
      <c r="AS258" s="515"/>
      <c r="AT258" s="515"/>
      <c r="AU258" s="515"/>
      <c r="AV258" s="515"/>
      <c r="AW258" s="515"/>
      <c r="AX258" s="515"/>
      <c r="AY258" s="515"/>
      <c r="AZ258" s="515"/>
      <c r="BA258" s="515"/>
      <c r="BB258" s="515"/>
      <c r="BC258" s="643"/>
      <c r="BD258" s="515"/>
      <c r="BE258" s="515"/>
      <c r="BF258" s="515"/>
      <c r="BG258" s="515"/>
      <c r="BH258" s="631"/>
      <c r="BI258" s="515"/>
      <c r="BJ258" s="515"/>
      <c r="BK258" s="515"/>
      <c r="BL258" s="515"/>
      <c r="BM258" s="515"/>
      <c r="BN258" s="515"/>
      <c r="BO258" s="516"/>
    </row>
    <row r="259" spans="1:67" s="517" customFormat="1">
      <c r="A259"/>
      <c r="B259" s="107"/>
      <c r="C259" s="107"/>
      <c r="D259" s="107"/>
      <c r="E259" s="107"/>
      <c r="F259" s="107"/>
      <c r="G259"/>
      <c r="H259"/>
      <c r="I259" s="29"/>
      <c r="J259"/>
      <c r="K259" s="16"/>
      <c r="L259"/>
      <c r="M259" s="108"/>
      <c r="N259" s="102"/>
      <c r="O259" s="28"/>
      <c r="P259" s="103"/>
      <c r="Q259" s="102"/>
      <c r="R259" s="16"/>
      <c r="S259" s="104"/>
      <c r="T259" s="16"/>
      <c r="U259" s="104"/>
      <c r="V259" s="16"/>
      <c r="W259" s="104"/>
      <c r="X259" s="16"/>
      <c r="Y259" s="104"/>
      <c r="Z259" s="16"/>
      <c r="AA259" s="16"/>
      <c r="AB259" s="16"/>
      <c r="AC259" s="16"/>
      <c r="AD259" s="102"/>
      <c r="AE259" s="467"/>
      <c r="AF259" s="106"/>
      <c r="AG259" s="11"/>
      <c r="AH259" s="11"/>
      <c r="AI259" s="143"/>
      <c r="AJ259" s="105"/>
      <c r="AK259" s="519"/>
      <c r="AL259" s="519"/>
      <c r="AM259" s="519"/>
      <c r="AN259" s="519"/>
      <c r="AO259" s="519"/>
      <c r="AP259" s="519"/>
      <c r="AQ259" s="515"/>
      <c r="AR259" s="519"/>
      <c r="AS259" s="515"/>
      <c r="AT259" s="515"/>
      <c r="AU259" s="515"/>
      <c r="AV259" s="515"/>
      <c r="AW259" s="515"/>
      <c r="AX259" s="515"/>
      <c r="AY259" s="515"/>
      <c r="AZ259" s="515"/>
      <c r="BA259" s="515"/>
      <c r="BB259" s="515"/>
      <c r="BC259" s="643"/>
      <c r="BD259" s="515"/>
      <c r="BE259" s="515"/>
      <c r="BF259" s="515"/>
      <c r="BG259" s="515"/>
      <c r="BH259" s="631"/>
      <c r="BI259" s="515"/>
      <c r="BJ259" s="515"/>
      <c r="BK259" s="515"/>
      <c r="BL259" s="515"/>
      <c r="BM259" s="515"/>
      <c r="BN259" s="515"/>
      <c r="BO259" s="516"/>
    </row>
    <row r="260" spans="1:67" s="517" customFormat="1">
      <c r="A260"/>
      <c r="B260" s="107"/>
      <c r="C260" s="107"/>
      <c r="D260" s="107"/>
      <c r="E260" s="107"/>
      <c r="F260" s="107"/>
      <c r="G260"/>
      <c r="H260"/>
      <c r="I260" s="29"/>
      <c r="J260"/>
      <c r="K260" s="16"/>
      <c r="L260"/>
      <c r="M260" s="108"/>
      <c r="N260" s="102"/>
      <c r="O260" s="28"/>
      <c r="P260" s="103"/>
      <c r="Q260" s="102"/>
      <c r="R260" s="16"/>
      <c r="S260" s="104"/>
      <c r="T260" s="16"/>
      <c r="U260" s="104"/>
      <c r="V260" s="16"/>
      <c r="W260" s="104"/>
      <c r="X260" s="16"/>
      <c r="Y260" s="104"/>
      <c r="Z260" s="16"/>
      <c r="AA260" s="16"/>
      <c r="AB260" s="16"/>
      <c r="AC260" s="16"/>
      <c r="AD260" s="102"/>
      <c r="AE260" s="467"/>
      <c r="AF260" s="106"/>
      <c r="AG260" s="11"/>
      <c r="AH260" s="11"/>
      <c r="AI260" s="143"/>
      <c r="AJ260" s="105"/>
      <c r="AK260" s="519"/>
      <c r="AL260" s="519"/>
      <c r="AM260" s="519"/>
      <c r="AN260" s="519"/>
      <c r="AO260" s="519"/>
      <c r="AP260" s="519"/>
      <c r="AQ260" s="515"/>
      <c r="AR260" s="519"/>
      <c r="AS260" s="515"/>
      <c r="AT260" s="515"/>
      <c r="AU260" s="515"/>
      <c r="AV260" s="515"/>
      <c r="AW260" s="515"/>
      <c r="AX260" s="515"/>
      <c r="AY260" s="515"/>
      <c r="AZ260" s="515"/>
      <c r="BA260" s="515"/>
      <c r="BB260" s="515"/>
      <c r="BC260" s="643"/>
      <c r="BD260" s="515"/>
      <c r="BE260" s="515"/>
      <c r="BF260" s="515"/>
      <c r="BG260" s="515"/>
      <c r="BH260" s="631"/>
      <c r="BI260" s="515"/>
      <c r="BJ260" s="515"/>
      <c r="BK260" s="515"/>
      <c r="BL260" s="515"/>
      <c r="BM260" s="515"/>
      <c r="BN260" s="515"/>
      <c r="BO260" s="516"/>
    </row>
    <row r="261" spans="1:67" s="517" customFormat="1">
      <c r="A261"/>
      <c r="B261" s="107"/>
      <c r="C261" s="107"/>
      <c r="D261" s="107"/>
      <c r="E261" s="107"/>
      <c r="F261" s="107"/>
      <c r="G261"/>
      <c r="H261"/>
      <c r="I261" s="29"/>
      <c r="J261"/>
      <c r="K261" s="16"/>
      <c r="L261"/>
      <c r="M261" s="108"/>
      <c r="N261" s="102"/>
      <c r="O261" s="28"/>
      <c r="P261" s="103"/>
      <c r="Q261" s="102"/>
      <c r="R261" s="16"/>
      <c r="S261" s="104"/>
      <c r="T261" s="16"/>
      <c r="U261" s="104"/>
      <c r="V261" s="16"/>
      <c r="W261" s="104"/>
      <c r="X261" s="16"/>
      <c r="Y261" s="104"/>
      <c r="Z261" s="16"/>
      <c r="AA261" s="16"/>
      <c r="AB261" s="16"/>
      <c r="AC261" s="16"/>
      <c r="AD261" s="102"/>
      <c r="AE261" s="467"/>
      <c r="AF261" s="106"/>
      <c r="AG261" s="11"/>
      <c r="AH261" s="11"/>
      <c r="AI261" s="143"/>
      <c r="AJ261" s="105"/>
      <c r="AK261" s="519"/>
      <c r="AL261" s="519"/>
      <c r="AM261" s="519"/>
      <c r="AN261" s="519"/>
      <c r="AO261" s="519"/>
      <c r="AP261" s="519"/>
      <c r="AQ261" s="515"/>
      <c r="AR261" s="519"/>
      <c r="AS261" s="515"/>
      <c r="AT261" s="515"/>
      <c r="AU261" s="515"/>
      <c r="AV261" s="515"/>
      <c r="AW261" s="515"/>
      <c r="AX261" s="515"/>
      <c r="AY261" s="515"/>
      <c r="AZ261" s="515"/>
      <c r="BA261" s="515"/>
      <c r="BB261" s="515"/>
      <c r="BC261" s="643"/>
      <c r="BD261" s="515"/>
      <c r="BE261" s="515"/>
      <c r="BF261" s="515"/>
      <c r="BG261" s="515"/>
      <c r="BH261" s="631"/>
      <c r="BI261" s="515"/>
      <c r="BJ261" s="515"/>
      <c r="BK261" s="515"/>
      <c r="BL261" s="515"/>
      <c r="BM261" s="515"/>
      <c r="BN261" s="515"/>
      <c r="BO261" s="516"/>
    </row>
    <row r="262" spans="1:67" s="517" customFormat="1">
      <c r="A262"/>
      <c r="B262" s="107"/>
      <c r="C262" s="107"/>
      <c r="D262" s="107"/>
      <c r="E262" s="107"/>
      <c r="F262" s="107"/>
      <c r="G262"/>
      <c r="H262"/>
      <c r="I262" s="29"/>
      <c r="J262"/>
      <c r="K262" s="16"/>
      <c r="L262"/>
      <c r="M262" s="108"/>
      <c r="N262" s="102"/>
      <c r="O262" s="28"/>
      <c r="P262" s="103"/>
      <c r="Q262" s="102"/>
      <c r="R262" s="16"/>
      <c r="S262" s="104"/>
      <c r="T262" s="16"/>
      <c r="U262" s="104"/>
      <c r="V262" s="16"/>
      <c r="W262" s="104"/>
      <c r="X262" s="16"/>
      <c r="Y262" s="104"/>
      <c r="Z262" s="16"/>
      <c r="AA262" s="16"/>
      <c r="AB262" s="16"/>
      <c r="AC262" s="16"/>
      <c r="AD262" s="102"/>
      <c r="AE262" s="467"/>
      <c r="AF262" s="106"/>
      <c r="AG262" s="11"/>
      <c r="AH262" s="11"/>
      <c r="AI262" s="143"/>
      <c r="AJ262" s="105"/>
      <c r="AK262" s="519"/>
      <c r="AL262" s="519"/>
      <c r="AM262" s="519"/>
      <c r="AN262" s="519"/>
      <c r="AO262" s="519"/>
      <c r="AP262" s="519"/>
      <c r="AQ262" s="515"/>
      <c r="AR262" s="519"/>
      <c r="AS262" s="515"/>
      <c r="AT262" s="515"/>
      <c r="AU262" s="515"/>
      <c r="AV262" s="515"/>
      <c r="AW262" s="515"/>
      <c r="AX262" s="515"/>
      <c r="AY262" s="515"/>
      <c r="AZ262" s="515"/>
      <c r="BA262" s="515"/>
      <c r="BB262" s="515"/>
      <c r="BC262" s="643"/>
      <c r="BD262" s="515"/>
      <c r="BE262" s="515"/>
      <c r="BF262" s="515"/>
      <c r="BG262" s="515"/>
      <c r="BH262" s="631"/>
      <c r="BI262" s="515"/>
      <c r="BJ262" s="515"/>
      <c r="BK262" s="515"/>
      <c r="BL262" s="515"/>
      <c r="BM262" s="515"/>
      <c r="BN262" s="515"/>
      <c r="BO262" s="516"/>
    </row>
    <row r="263" spans="1:67" s="517" customFormat="1">
      <c r="A263"/>
      <c r="B263" s="107"/>
      <c r="C263" s="107"/>
      <c r="D263" s="107"/>
      <c r="E263" s="107"/>
      <c r="F263" s="107"/>
      <c r="G263"/>
      <c r="H263"/>
      <c r="I263" s="29"/>
      <c r="J263"/>
      <c r="K263" s="16"/>
      <c r="L263"/>
      <c r="M263" s="108"/>
      <c r="N263" s="102"/>
      <c r="O263" s="28"/>
      <c r="P263" s="103"/>
      <c r="Q263" s="102"/>
      <c r="R263" s="16"/>
      <c r="S263" s="104"/>
      <c r="T263" s="16"/>
      <c r="U263" s="104"/>
      <c r="V263" s="16"/>
      <c r="W263" s="104"/>
      <c r="X263" s="16"/>
      <c r="Y263" s="104"/>
      <c r="Z263" s="16"/>
      <c r="AA263" s="16"/>
      <c r="AB263" s="16"/>
      <c r="AC263" s="16"/>
      <c r="AD263" s="102"/>
      <c r="AE263" s="467"/>
      <c r="AF263" s="106"/>
      <c r="AG263" s="11"/>
      <c r="AH263" s="11"/>
      <c r="AI263" s="143"/>
      <c r="AJ263" s="105"/>
      <c r="AK263" s="519"/>
      <c r="AL263" s="519"/>
      <c r="AM263" s="519"/>
      <c r="AN263" s="519"/>
      <c r="AO263" s="519"/>
      <c r="AP263" s="519"/>
      <c r="AQ263" s="515"/>
      <c r="AR263" s="519"/>
      <c r="AS263" s="515"/>
      <c r="AT263" s="515"/>
      <c r="AU263" s="515"/>
      <c r="AV263" s="515"/>
      <c r="AW263" s="515"/>
      <c r="AX263" s="515"/>
      <c r="AY263" s="515"/>
      <c r="AZ263" s="515"/>
      <c r="BA263" s="515"/>
      <c r="BB263" s="515"/>
      <c r="BC263" s="643"/>
      <c r="BD263" s="515"/>
      <c r="BE263" s="515"/>
      <c r="BF263" s="515"/>
      <c r="BG263" s="515"/>
      <c r="BH263" s="631"/>
      <c r="BI263" s="515"/>
      <c r="BJ263" s="515"/>
      <c r="BK263" s="515"/>
      <c r="BL263" s="515"/>
      <c r="BM263" s="515"/>
      <c r="BN263" s="515"/>
      <c r="BO263" s="516"/>
    </row>
    <row r="264" spans="1:67" s="517" customFormat="1">
      <c r="A264"/>
      <c r="B264" s="107"/>
      <c r="C264" s="107"/>
      <c r="D264" s="107"/>
      <c r="E264" s="107"/>
      <c r="F264" s="107"/>
      <c r="G264"/>
      <c r="H264"/>
      <c r="I264" s="29"/>
      <c r="J264"/>
      <c r="K264" s="16"/>
      <c r="L264"/>
      <c r="M264" s="108"/>
      <c r="N264" s="102"/>
      <c r="O264" s="28"/>
      <c r="P264" s="103"/>
      <c r="Q264" s="102"/>
      <c r="R264" s="16"/>
      <c r="S264" s="104"/>
      <c r="T264" s="16"/>
      <c r="U264" s="104"/>
      <c r="V264" s="16"/>
      <c r="W264" s="104"/>
      <c r="X264" s="16"/>
      <c r="Y264" s="104"/>
      <c r="Z264" s="16"/>
      <c r="AA264" s="16"/>
      <c r="AB264" s="16"/>
      <c r="AC264" s="16"/>
      <c r="AD264" s="102"/>
      <c r="AE264" s="467"/>
      <c r="AF264" s="106"/>
      <c r="AG264" s="11"/>
      <c r="AH264" s="11"/>
      <c r="AI264" s="143"/>
      <c r="AJ264" s="105"/>
      <c r="AK264" s="519"/>
      <c r="AL264" s="519"/>
      <c r="AM264" s="519"/>
      <c r="AN264" s="519"/>
      <c r="AO264" s="519"/>
      <c r="AP264" s="519"/>
      <c r="AQ264" s="515"/>
      <c r="AR264" s="519"/>
      <c r="AS264" s="515"/>
      <c r="AT264" s="515"/>
      <c r="AU264" s="515"/>
      <c r="AV264" s="515"/>
      <c r="AW264" s="515"/>
      <c r="AX264" s="515"/>
      <c r="AY264" s="515"/>
      <c r="AZ264" s="515"/>
      <c r="BA264" s="515"/>
      <c r="BB264" s="515"/>
      <c r="BC264" s="643"/>
      <c r="BD264" s="515"/>
      <c r="BE264" s="515"/>
      <c r="BF264" s="515"/>
      <c r="BG264" s="515"/>
      <c r="BH264" s="631"/>
      <c r="BI264" s="515"/>
      <c r="BJ264" s="515"/>
      <c r="BK264" s="515"/>
      <c r="BL264" s="515"/>
      <c r="BM264" s="515"/>
      <c r="BN264" s="515"/>
      <c r="BO264" s="516"/>
    </row>
    <row r="265" spans="1:67" s="517" customFormat="1">
      <c r="A265"/>
      <c r="B265" s="107"/>
      <c r="C265" s="107"/>
      <c r="D265" s="107"/>
      <c r="E265" s="107"/>
      <c r="F265" s="107"/>
      <c r="G265"/>
      <c r="H265"/>
      <c r="I265" s="29"/>
      <c r="J265"/>
      <c r="K265" s="16"/>
      <c r="L265"/>
      <c r="M265" s="108"/>
      <c r="N265" s="102"/>
      <c r="O265" s="28"/>
      <c r="P265" s="103"/>
      <c r="Q265" s="102"/>
      <c r="R265" s="16"/>
      <c r="S265" s="104"/>
      <c r="T265" s="16"/>
      <c r="U265" s="104"/>
      <c r="V265" s="16"/>
      <c r="W265" s="104"/>
      <c r="X265" s="16"/>
      <c r="Y265" s="104"/>
      <c r="Z265" s="16"/>
      <c r="AA265" s="16"/>
      <c r="AB265" s="16"/>
      <c r="AC265" s="16"/>
      <c r="AD265" s="102"/>
      <c r="AE265" s="467"/>
      <c r="AF265" s="106"/>
      <c r="AG265" s="11"/>
      <c r="AH265" s="11"/>
      <c r="AI265" s="143"/>
      <c r="AJ265" s="105"/>
      <c r="AK265" s="519"/>
      <c r="AL265" s="519"/>
      <c r="AM265" s="519"/>
      <c r="AN265" s="519"/>
      <c r="AO265" s="519"/>
      <c r="AP265" s="519"/>
      <c r="AQ265" s="515"/>
      <c r="AR265" s="519"/>
      <c r="AS265" s="515"/>
      <c r="AT265" s="515"/>
      <c r="AU265" s="515"/>
      <c r="AV265" s="515"/>
      <c r="AW265" s="515"/>
      <c r="AX265" s="515"/>
      <c r="AY265" s="515"/>
      <c r="AZ265" s="515"/>
      <c r="BA265" s="515"/>
      <c r="BB265" s="515"/>
      <c r="BC265" s="643"/>
      <c r="BD265" s="515"/>
      <c r="BE265" s="515"/>
      <c r="BF265" s="515"/>
      <c r="BG265" s="515"/>
      <c r="BH265" s="631"/>
      <c r="BI265" s="515"/>
      <c r="BJ265" s="515"/>
      <c r="BK265" s="515"/>
      <c r="BL265" s="515"/>
      <c r="BM265" s="515"/>
      <c r="BN265" s="515"/>
      <c r="BO265" s="516"/>
    </row>
    <row r="266" spans="1:67" s="517" customFormat="1">
      <c r="A266"/>
      <c r="B266" s="107"/>
      <c r="C266" s="107"/>
      <c r="D266" s="107"/>
      <c r="E266" s="107"/>
      <c r="F266" s="107"/>
      <c r="G266"/>
      <c r="H266"/>
      <c r="I266" s="29"/>
      <c r="J266"/>
      <c r="K266" s="16"/>
      <c r="L266"/>
      <c r="M266" s="108"/>
      <c r="N266" s="102"/>
      <c r="O266" s="28"/>
      <c r="P266" s="103"/>
      <c r="Q266" s="102"/>
      <c r="R266" s="16"/>
      <c r="S266" s="104"/>
      <c r="T266" s="16"/>
      <c r="U266" s="104"/>
      <c r="V266" s="16"/>
      <c r="W266" s="104"/>
      <c r="X266" s="16"/>
      <c r="Y266" s="104"/>
      <c r="Z266" s="16"/>
      <c r="AA266" s="16"/>
      <c r="AB266" s="16"/>
      <c r="AC266" s="16"/>
      <c r="AD266" s="102"/>
      <c r="AE266" s="467"/>
      <c r="AF266" s="106"/>
      <c r="AG266" s="11"/>
      <c r="AH266" s="11"/>
      <c r="AI266" s="143"/>
      <c r="AJ266" s="105"/>
      <c r="AK266" s="519"/>
      <c r="AL266" s="519"/>
      <c r="AM266" s="519"/>
      <c r="AN266" s="519"/>
      <c r="AO266" s="519"/>
      <c r="AP266" s="519"/>
      <c r="AQ266" s="515"/>
      <c r="AR266" s="519"/>
      <c r="AS266" s="515"/>
      <c r="AT266" s="515"/>
      <c r="AU266" s="515"/>
      <c r="AV266" s="515"/>
      <c r="AW266" s="515"/>
      <c r="AX266" s="515"/>
      <c r="AY266" s="515"/>
      <c r="AZ266" s="515"/>
      <c r="BA266" s="515"/>
      <c r="BB266" s="515"/>
      <c r="BC266" s="643"/>
      <c r="BD266" s="515"/>
      <c r="BE266" s="515"/>
      <c r="BF266" s="515"/>
      <c r="BG266" s="515"/>
      <c r="BH266" s="631"/>
      <c r="BI266" s="515"/>
      <c r="BJ266" s="515"/>
      <c r="BK266" s="515"/>
      <c r="BL266" s="515"/>
      <c r="BM266" s="515"/>
      <c r="BN266" s="515"/>
      <c r="BO266" s="516"/>
    </row>
    <row r="267" spans="1:67" s="517" customFormat="1">
      <c r="A267"/>
      <c r="B267" s="107"/>
      <c r="C267" s="107"/>
      <c r="D267" s="107"/>
      <c r="E267" s="107"/>
      <c r="F267" s="107"/>
      <c r="G267"/>
      <c r="H267"/>
      <c r="I267" s="29"/>
      <c r="J267"/>
      <c r="K267" s="16"/>
      <c r="L267"/>
      <c r="M267" s="108"/>
      <c r="N267" s="102"/>
      <c r="O267" s="28"/>
      <c r="P267" s="103"/>
      <c r="Q267" s="102"/>
      <c r="R267" s="16"/>
      <c r="S267" s="104"/>
      <c r="T267" s="16"/>
      <c r="U267" s="104"/>
      <c r="V267" s="16"/>
      <c r="W267" s="104"/>
      <c r="X267" s="16"/>
      <c r="Y267" s="104"/>
      <c r="Z267" s="16"/>
      <c r="AA267" s="16"/>
      <c r="AB267" s="16"/>
      <c r="AC267" s="16"/>
      <c r="AD267" s="102"/>
      <c r="AE267" s="467"/>
      <c r="AF267" s="106"/>
      <c r="AG267" s="11"/>
      <c r="AH267" s="11"/>
      <c r="AI267" s="143"/>
      <c r="AJ267" s="105"/>
      <c r="AK267" s="519"/>
      <c r="AL267" s="519"/>
      <c r="AM267" s="519"/>
      <c r="AN267" s="519"/>
      <c r="AO267" s="519"/>
      <c r="AP267" s="519"/>
      <c r="AQ267" s="515"/>
      <c r="AR267" s="519"/>
      <c r="AS267" s="515"/>
      <c r="AT267" s="515"/>
      <c r="AU267" s="515"/>
      <c r="AV267" s="515"/>
      <c r="AW267" s="515"/>
      <c r="AX267" s="515"/>
      <c r="AY267" s="515"/>
      <c r="AZ267" s="515"/>
      <c r="BA267" s="515"/>
      <c r="BB267" s="515"/>
      <c r="BC267" s="643"/>
      <c r="BD267" s="515"/>
      <c r="BE267" s="515"/>
      <c r="BF267" s="515"/>
      <c r="BG267" s="515"/>
      <c r="BH267" s="631"/>
      <c r="BI267" s="515"/>
      <c r="BJ267" s="515"/>
      <c r="BK267" s="515"/>
      <c r="BL267" s="515"/>
      <c r="BM267" s="515"/>
      <c r="BN267" s="515"/>
      <c r="BO267" s="516"/>
    </row>
    <row r="268" spans="1:67" s="517" customFormat="1">
      <c r="A268"/>
      <c r="B268" s="107"/>
      <c r="C268" s="107"/>
      <c r="D268" s="107"/>
      <c r="E268" s="107"/>
      <c r="F268" s="107"/>
      <c r="G268"/>
      <c r="H268"/>
      <c r="I268" s="29"/>
      <c r="J268"/>
      <c r="K268" s="16"/>
      <c r="L268"/>
      <c r="M268" s="108"/>
      <c r="N268" s="102"/>
      <c r="O268" s="28"/>
      <c r="P268" s="103"/>
      <c r="Q268" s="102"/>
      <c r="R268" s="16"/>
      <c r="S268" s="104"/>
      <c r="T268" s="16"/>
      <c r="U268" s="104"/>
      <c r="V268" s="16"/>
      <c r="W268" s="104"/>
      <c r="X268" s="16"/>
      <c r="Y268" s="104"/>
      <c r="Z268" s="16"/>
      <c r="AA268" s="16"/>
      <c r="AB268" s="16"/>
      <c r="AC268" s="16"/>
      <c r="AD268" s="102"/>
      <c r="AE268" s="467"/>
      <c r="AF268" s="106"/>
      <c r="AG268" s="11"/>
      <c r="AH268" s="11"/>
      <c r="AI268" s="143"/>
      <c r="AJ268" s="105"/>
      <c r="AK268" s="519"/>
      <c r="AL268" s="519"/>
      <c r="AM268" s="519"/>
      <c r="AN268" s="519"/>
      <c r="AO268" s="519"/>
      <c r="AP268" s="519"/>
      <c r="AQ268" s="515"/>
      <c r="AR268" s="519"/>
      <c r="AS268" s="515"/>
      <c r="AT268" s="515"/>
      <c r="AU268" s="515"/>
      <c r="AV268" s="515"/>
      <c r="AW268" s="515"/>
      <c r="AX268" s="515"/>
      <c r="AY268" s="515"/>
      <c r="AZ268" s="515"/>
      <c r="BA268" s="515"/>
      <c r="BB268" s="515"/>
      <c r="BC268" s="643"/>
      <c r="BD268" s="515"/>
      <c r="BE268" s="515"/>
      <c r="BF268" s="515"/>
      <c r="BG268" s="515"/>
      <c r="BH268" s="631"/>
      <c r="BI268" s="515"/>
      <c r="BJ268" s="515"/>
      <c r="BK268" s="515"/>
      <c r="BL268" s="515"/>
      <c r="BM268" s="515"/>
      <c r="BN268" s="515"/>
      <c r="BO268" s="516"/>
    </row>
    <row r="269" spans="1:67" s="517" customFormat="1">
      <c r="A269"/>
      <c r="B269" s="107"/>
      <c r="C269" s="107"/>
      <c r="D269" s="107"/>
      <c r="E269" s="107"/>
      <c r="F269" s="107"/>
      <c r="G269"/>
      <c r="H269"/>
      <c r="I269" s="29"/>
      <c r="J269"/>
      <c r="K269" s="16"/>
      <c r="L269"/>
      <c r="M269" s="108"/>
      <c r="N269" s="102"/>
      <c r="O269" s="28"/>
      <c r="P269" s="103"/>
      <c r="Q269" s="102"/>
      <c r="R269" s="16"/>
      <c r="S269" s="104"/>
      <c r="T269" s="16"/>
      <c r="U269" s="104"/>
      <c r="V269" s="16"/>
      <c r="W269" s="104"/>
      <c r="X269" s="16"/>
      <c r="Y269" s="104"/>
      <c r="Z269" s="16"/>
      <c r="AA269" s="16"/>
      <c r="AB269" s="16"/>
      <c r="AC269" s="16"/>
      <c r="AD269" s="102"/>
      <c r="AE269" s="467"/>
      <c r="AF269" s="106"/>
      <c r="AG269" s="11"/>
      <c r="AH269" s="11"/>
      <c r="AI269" s="143"/>
      <c r="AJ269" s="105"/>
      <c r="AK269" s="519"/>
      <c r="AL269" s="519"/>
      <c r="AM269" s="519"/>
      <c r="AN269" s="519"/>
      <c r="AO269" s="519"/>
      <c r="AP269" s="519"/>
      <c r="AQ269" s="515"/>
      <c r="AR269" s="519"/>
      <c r="AS269" s="515"/>
      <c r="AT269" s="515"/>
      <c r="AU269" s="515"/>
      <c r="AV269" s="515"/>
      <c r="AW269" s="515"/>
      <c r="AX269" s="515"/>
      <c r="AY269" s="515"/>
      <c r="AZ269" s="515"/>
      <c r="BA269" s="515"/>
      <c r="BB269" s="515"/>
      <c r="BC269" s="643"/>
      <c r="BD269" s="515"/>
      <c r="BE269" s="515"/>
      <c r="BF269" s="515"/>
      <c r="BG269" s="515"/>
      <c r="BH269" s="631"/>
      <c r="BI269" s="515"/>
      <c r="BJ269" s="515"/>
      <c r="BK269" s="515"/>
      <c r="BL269" s="515"/>
      <c r="BM269" s="515"/>
      <c r="BN269" s="515"/>
      <c r="BO269" s="516"/>
    </row>
    <row r="270" spans="1:67" s="517" customFormat="1">
      <c r="A270"/>
      <c r="B270" s="107"/>
      <c r="C270" s="107"/>
      <c r="D270" s="107"/>
      <c r="E270" s="107"/>
      <c r="F270" s="107"/>
      <c r="G270"/>
      <c r="H270"/>
      <c r="I270" s="29"/>
      <c r="J270"/>
      <c r="K270" s="16"/>
      <c r="L270"/>
      <c r="M270" s="108"/>
      <c r="N270" s="102"/>
      <c r="O270" s="28"/>
      <c r="P270" s="103"/>
      <c r="Q270" s="102"/>
      <c r="R270" s="16"/>
      <c r="S270" s="104"/>
      <c r="T270" s="16"/>
      <c r="U270" s="104"/>
      <c r="V270" s="16"/>
      <c r="W270" s="104"/>
      <c r="X270" s="16"/>
      <c r="Y270" s="104"/>
      <c r="Z270" s="16"/>
      <c r="AA270" s="16"/>
      <c r="AB270" s="16"/>
      <c r="AC270" s="16"/>
      <c r="AD270" s="102"/>
      <c r="AE270" s="467"/>
      <c r="AF270" s="106"/>
      <c r="AG270" s="11"/>
      <c r="AH270" s="11"/>
      <c r="AI270" s="143"/>
      <c r="AJ270" s="105"/>
      <c r="AK270" s="519"/>
      <c r="AL270" s="519"/>
      <c r="AM270" s="519"/>
      <c r="AN270" s="519"/>
      <c r="AO270" s="519"/>
      <c r="AP270" s="519"/>
      <c r="AQ270" s="515"/>
      <c r="AR270" s="519"/>
      <c r="AS270" s="515"/>
      <c r="AT270" s="515"/>
      <c r="AU270" s="515"/>
      <c r="AV270" s="515"/>
      <c r="AW270" s="515"/>
      <c r="AX270" s="515"/>
      <c r="AY270" s="515"/>
      <c r="AZ270" s="515"/>
      <c r="BA270" s="515"/>
      <c r="BB270" s="515"/>
      <c r="BC270" s="643"/>
      <c r="BD270" s="515"/>
      <c r="BE270" s="515"/>
      <c r="BF270" s="515"/>
      <c r="BG270" s="515"/>
      <c r="BH270" s="631"/>
      <c r="BI270" s="515"/>
      <c r="BJ270" s="515"/>
      <c r="BK270" s="515"/>
      <c r="BL270" s="515"/>
      <c r="BM270" s="515"/>
      <c r="BN270" s="515"/>
      <c r="BO270" s="516"/>
    </row>
    <row r="271" spans="1:67" s="517" customFormat="1">
      <c r="A271"/>
      <c r="B271" s="107"/>
      <c r="C271" s="107"/>
      <c r="D271" s="107"/>
      <c r="E271" s="107"/>
      <c r="F271" s="107"/>
      <c r="G271"/>
      <c r="H271"/>
      <c r="I271" s="29"/>
      <c r="J271"/>
      <c r="K271" s="16"/>
      <c r="L271"/>
      <c r="M271" s="108"/>
      <c r="N271" s="102"/>
      <c r="O271" s="28"/>
      <c r="P271" s="103"/>
      <c r="Q271" s="102"/>
      <c r="R271" s="16"/>
      <c r="S271" s="104"/>
      <c r="T271" s="16"/>
      <c r="U271" s="104"/>
      <c r="V271" s="16"/>
      <c r="W271" s="104"/>
      <c r="X271" s="16"/>
      <c r="Y271" s="104"/>
      <c r="Z271" s="16"/>
      <c r="AA271" s="16"/>
      <c r="AB271" s="16"/>
      <c r="AC271" s="16"/>
      <c r="AD271" s="102"/>
      <c r="AE271" s="467"/>
      <c r="AF271" s="106"/>
      <c r="AG271" s="11"/>
      <c r="AH271" s="11"/>
      <c r="AI271" s="143"/>
      <c r="AJ271" s="105"/>
      <c r="AK271" s="519"/>
      <c r="AL271" s="519"/>
      <c r="AM271" s="519"/>
      <c r="AN271" s="519"/>
      <c r="AO271" s="519"/>
      <c r="AP271" s="519"/>
      <c r="AQ271" s="515"/>
      <c r="AR271" s="519"/>
      <c r="AS271" s="515"/>
      <c r="AT271" s="515"/>
      <c r="AU271" s="515"/>
      <c r="AV271" s="515"/>
      <c r="AW271" s="515"/>
      <c r="AX271" s="515"/>
      <c r="AY271" s="515"/>
      <c r="AZ271" s="515"/>
      <c r="BA271" s="515"/>
      <c r="BB271" s="515"/>
      <c r="BC271" s="643"/>
      <c r="BD271" s="515"/>
      <c r="BE271" s="515"/>
      <c r="BF271" s="515"/>
      <c r="BG271" s="515"/>
      <c r="BH271" s="631"/>
      <c r="BI271" s="515"/>
      <c r="BJ271" s="515"/>
      <c r="BK271" s="515"/>
      <c r="BL271" s="515"/>
      <c r="BM271" s="515"/>
      <c r="BN271" s="515"/>
      <c r="BO271" s="516"/>
    </row>
    <row r="272" spans="1:67" s="517" customFormat="1">
      <c r="A272"/>
      <c r="B272" s="107"/>
      <c r="C272" s="107"/>
      <c r="D272" s="107"/>
      <c r="E272" s="107"/>
      <c r="F272" s="107"/>
      <c r="G272"/>
      <c r="H272"/>
      <c r="I272" s="29"/>
      <c r="J272"/>
      <c r="K272" s="16"/>
      <c r="L272"/>
      <c r="M272" s="108"/>
      <c r="N272" s="102"/>
      <c r="O272" s="28"/>
      <c r="P272" s="103"/>
      <c r="Q272" s="102"/>
      <c r="R272" s="16"/>
      <c r="S272" s="104"/>
      <c r="T272" s="16"/>
      <c r="U272" s="104"/>
      <c r="V272" s="16"/>
      <c r="W272" s="104"/>
      <c r="X272" s="16"/>
      <c r="Y272" s="104"/>
      <c r="Z272" s="16"/>
      <c r="AA272" s="16"/>
      <c r="AB272" s="16"/>
      <c r="AC272" s="16"/>
      <c r="AD272" s="102"/>
      <c r="AE272" s="467"/>
      <c r="AF272" s="106"/>
      <c r="AG272" s="11"/>
      <c r="AH272" s="11"/>
      <c r="AI272" s="143"/>
      <c r="AJ272" s="105"/>
      <c r="AK272" s="519"/>
      <c r="AL272" s="519"/>
      <c r="AM272" s="519"/>
      <c r="AN272" s="519"/>
      <c r="AO272" s="519"/>
      <c r="AP272" s="519"/>
      <c r="AQ272" s="515"/>
      <c r="AR272" s="519"/>
      <c r="AS272" s="515"/>
      <c r="AT272" s="515"/>
      <c r="AU272" s="515"/>
      <c r="AV272" s="515"/>
      <c r="AW272" s="515"/>
      <c r="AX272" s="515"/>
      <c r="AY272" s="515"/>
      <c r="AZ272" s="515"/>
      <c r="BA272" s="515"/>
      <c r="BB272" s="515"/>
      <c r="BC272" s="643"/>
      <c r="BD272" s="515"/>
      <c r="BE272" s="515"/>
      <c r="BF272" s="515"/>
      <c r="BG272" s="515"/>
      <c r="BH272" s="631"/>
      <c r="BI272" s="515"/>
      <c r="BJ272" s="515"/>
      <c r="BK272" s="515"/>
      <c r="BL272" s="515"/>
      <c r="BM272" s="515"/>
      <c r="BN272" s="515"/>
      <c r="BO272" s="516"/>
    </row>
    <row r="273" spans="1:67" s="517" customFormat="1">
      <c r="A273"/>
      <c r="B273" s="107"/>
      <c r="C273" s="107"/>
      <c r="D273" s="107"/>
      <c r="E273" s="107"/>
      <c r="F273" s="107"/>
      <c r="G273"/>
      <c r="H273"/>
      <c r="I273" s="29"/>
      <c r="J273"/>
      <c r="K273" s="16"/>
      <c r="L273"/>
      <c r="M273" s="108"/>
      <c r="N273" s="102"/>
      <c r="O273" s="28"/>
      <c r="P273" s="103"/>
      <c r="Q273" s="102"/>
      <c r="R273" s="16"/>
      <c r="S273" s="104"/>
      <c r="T273" s="16"/>
      <c r="U273" s="104"/>
      <c r="V273" s="16"/>
      <c r="W273" s="104"/>
      <c r="X273" s="16"/>
      <c r="Y273" s="104"/>
      <c r="Z273" s="16"/>
      <c r="AA273" s="16"/>
      <c r="AB273" s="16"/>
      <c r="AC273" s="16"/>
      <c r="AD273" s="102"/>
      <c r="AE273" s="467"/>
      <c r="AF273" s="106"/>
      <c r="AG273" s="11"/>
      <c r="AH273" s="11"/>
      <c r="AI273" s="143"/>
      <c r="AJ273" s="105"/>
      <c r="AK273" s="519"/>
      <c r="AL273" s="519"/>
      <c r="AM273" s="519"/>
      <c r="AN273" s="519"/>
      <c r="AO273" s="519"/>
      <c r="AP273" s="519"/>
      <c r="AQ273" s="515"/>
      <c r="AR273" s="519"/>
      <c r="AS273" s="515"/>
      <c r="AT273" s="515"/>
      <c r="AU273" s="515"/>
      <c r="AV273" s="515"/>
      <c r="AW273" s="515"/>
      <c r="AX273" s="515"/>
      <c r="AY273" s="515"/>
      <c r="AZ273" s="515"/>
      <c r="BA273" s="515"/>
      <c r="BB273" s="515"/>
      <c r="BC273" s="643"/>
      <c r="BD273" s="515"/>
      <c r="BE273" s="515"/>
      <c r="BF273" s="515"/>
      <c r="BG273" s="515"/>
      <c r="BH273" s="631"/>
      <c r="BI273" s="515"/>
      <c r="BJ273" s="515"/>
      <c r="BK273" s="515"/>
      <c r="BL273" s="515"/>
      <c r="BM273" s="515"/>
      <c r="BN273" s="515"/>
      <c r="BO273" s="516"/>
    </row>
    <row r="274" spans="1:67" s="517" customFormat="1">
      <c r="A274"/>
      <c r="B274" s="107"/>
      <c r="C274" s="107"/>
      <c r="D274" s="107"/>
      <c r="E274" s="107"/>
      <c r="F274" s="107"/>
      <c r="G274"/>
      <c r="H274"/>
      <c r="I274" s="29"/>
      <c r="J274"/>
      <c r="K274" s="16"/>
      <c r="L274"/>
      <c r="M274" s="108"/>
      <c r="N274" s="102"/>
      <c r="O274" s="28"/>
      <c r="P274" s="103"/>
      <c r="Q274" s="102"/>
      <c r="R274" s="16"/>
      <c r="S274" s="104"/>
      <c r="T274" s="16"/>
      <c r="U274" s="104"/>
      <c r="V274" s="16"/>
      <c r="W274" s="104"/>
      <c r="X274" s="16"/>
      <c r="Y274" s="104"/>
      <c r="Z274" s="16"/>
      <c r="AA274" s="16"/>
      <c r="AB274" s="16"/>
      <c r="AC274" s="16"/>
      <c r="AD274" s="102"/>
      <c r="AE274" s="467"/>
      <c r="AF274" s="106"/>
      <c r="AG274" s="11"/>
      <c r="AH274" s="11"/>
      <c r="AI274" s="143"/>
      <c r="AJ274" s="105"/>
      <c r="AK274" s="519"/>
      <c r="AL274" s="519"/>
      <c r="AM274" s="519"/>
      <c r="AN274" s="519"/>
      <c r="AO274" s="519"/>
      <c r="AP274" s="519"/>
      <c r="AQ274" s="515"/>
      <c r="AR274" s="519"/>
      <c r="AS274" s="515"/>
      <c r="AT274" s="515"/>
      <c r="AU274" s="515"/>
      <c r="AV274" s="515"/>
      <c r="AW274" s="515"/>
      <c r="AX274" s="515"/>
      <c r="AY274" s="515"/>
      <c r="AZ274" s="515"/>
      <c r="BA274" s="515"/>
      <c r="BB274" s="515"/>
      <c r="BC274" s="643"/>
      <c r="BD274" s="515"/>
      <c r="BE274" s="515"/>
      <c r="BF274" s="515"/>
      <c r="BG274" s="515"/>
      <c r="BH274" s="631"/>
      <c r="BI274" s="515"/>
      <c r="BJ274" s="515"/>
      <c r="BK274" s="515"/>
      <c r="BL274" s="515"/>
      <c r="BM274" s="515"/>
      <c r="BN274" s="515"/>
      <c r="BO274" s="516"/>
    </row>
    <row r="275" spans="1:67" s="517" customFormat="1">
      <c r="A275"/>
      <c r="B275" s="107"/>
      <c r="C275" s="107"/>
      <c r="D275" s="107"/>
      <c r="E275" s="107"/>
      <c r="F275" s="107"/>
      <c r="G275"/>
      <c r="H275"/>
      <c r="I275" s="29"/>
      <c r="J275"/>
      <c r="K275" s="16"/>
      <c r="L275"/>
      <c r="M275" s="108"/>
      <c r="N275" s="102"/>
      <c r="O275" s="28"/>
      <c r="P275" s="103"/>
      <c r="Q275" s="102"/>
      <c r="R275" s="16"/>
      <c r="S275" s="104"/>
      <c r="T275" s="16"/>
      <c r="U275" s="104"/>
      <c r="V275" s="16"/>
      <c r="W275" s="104"/>
      <c r="X275" s="16"/>
      <c r="Y275" s="104"/>
      <c r="Z275" s="16"/>
      <c r="AA275" s="16"/>
      <c r="AB275" s="16"/>
      <c r="AC275" s="16"/>
      <c r="AD275" s="102"/>
      <c r="AE275" s="467"/>
      <c r="AF275" s="106"/>
      <c r="AG275" s="11"/>
      <c r="AH275" s="11"/>
      <c r="AI275" s="143"/>
      <c r="AJ275" s="105"/>
      <c r="AK275" s="519"/>
      <c r="AL275" s="519"/>
      <c r="AM275" s="519"/>
      <c r="AN275" s="519"/>
      <c r="AO275" s="519"/>
      <c r="AP275" s="519"/>
      <c r="AQ275" s="515"/>
      <c r="AR275" s="519"/>
      <c r="AS275" s="515"/>
      <c r="AT275" s="515"/>
      <c r="AU275" s="515"/>
      <c r="AV275" s="515"/>
      <c r="AW275" s="515"/>
      <c r="AX275" s="515"/>
      <c r="AY275" s="515"/>
      <c r="AZ275" s="515"/>
      <c r="BA275" s="515"/>
      <c r="BB275" s="515"/>
      <c r="BC275" s="643"/>
      <c r="BD275" s="515"/>
      <c r="BE275" s="515"/>
      <c r="BF275" s="515"/>
      <c r="BG275" s="515"/>
      <c r="BH275" s="631"/>
      <c r="BI275" s="515"/>
      <c r="BJ275" s="515"/>
      <c r="BK275" s="515"/>
      <c r="BL275" s="515"/>
      <c r="BM275" s="515"/>
      <c r="BN275" s="515"/>
      <c r="BO275" s="516"/>
    </row>
    <row r="276" spans="1:67" s="517" customFormat="1">
      <c r="A276"/>
      <c r="B276" s="107"/>
      <c r="C276" s="107"/>
      <c r="D276" s="107"/>
      <c r="E276" s="107"/>
      <c r="F276" s="107"/>
      <c r="G276"/>
      <c r="H276"/>
      <c r="I276" s="29"/>
      <c r="J276"/>
      <c r="K276" s="16"/>
      <c r="L276"/>
      <c r="M276" s="108"/>
      <c r="N276" s="102"/>
      <c r="O276" s="28"/>
      <c r="P276" s="103"/>
      <c r="Q276" s="102"/>
      <c r="R276" s="16"/>
      <c r="S276" s="104"/>
      <c r="T276" s="16"/>
      <c r="U276" s="104"/>
      <c r="V276" s="16"/>
      <c r="W276" s="104"/>
      <c r="X276" s="16"/>
      <c r="Y276" s="104"/>
      <c r="Z276" s="16"/>
      <c r="AA276" s="16"/>
      <c r="AB276" s="16"/>
      <c r="AC276" s="16"/>
      <c r="AD276" s="102"/>
      <c r="AE276" s="467"/>
      <c r="AF276" s="106"/>
      <c r="AG276" s="11"/>
      <c r="AH276" s="11"/>
      <c r="AI276" s="143"/>
      <c r="AJ276" s="105"/>
      <c r="AK276" s="519"/>
      <c r="AL276" s="519"/>
      <c r="AM276" s="519"/>
      <c r="AN276" s="519"/>
      <c r="AO276" s="519"/>
      <c r="AP276" s="519"/>
      <c r="AQ276" s="515"/>
      <c r="AR276" s="519"/>
      <c r="AS276" s="515"/>
      <c r="AT276" s="515"/>
      <c r="AU276" s="515"/>
      <c r="AV276" s="515"/>
      <c r="AW276" s="515"/>
      <c r="AX276" s="515"/>
      <c r="AY276" s="515"/>
      <c r="AZ276" s="515"/>
      <c r="BA276" s="515"/>
      <c r="BB276" s="515"/>
      <c r="BC276" s="643"/>
      <c r="BD276" s="515"/>
      <c r="BE276" s="515"/>
      <c r="BF276" s="515"/>
      <c r="BG276" s="515"/>
      <c r="BH276" s="631"/>
      <c r="BI276" s="515"/>
      <c r="BJ276" s="515"/>
      <c r="BK276" s="515"/>
      <c r="BL276" s="515"/>
      <c r="BM276" s="515"/>
      <c r="BN276" s="515"/>
      <c r="BO276" s="516"/>
    </row>
    <row r="277" spans="1:67" s="517" customFormat="1">
      <c r="A277"/>
      <c r="B277" s="107"/>
      <c r="C277" s="107"/>
      <c r="D277" s="107"/>
      <c r="E277" s="107"/>
      <c r="F277" s="107"/>
      <c r="G277"/>
      <c r="H277"/>
      <c r="I277" s="29"/>
      <c r="J277"/>
      <c r="K277" s="16"/>
      <c r="L277"/>
      <c r="M277" s="108"/>
      <c r="N277" s="102"/>
      <c r="O277" s="28"/>
      <c r="P277" s="103"/>
      <c r="Q277" s="102"/>
      <c r="R277" s="16"/>
      <c r="S277" s="104"/>
      <c r="T277" s="16"/>
      <c r="U277" s="104"/>
      <c r="V277" s="16"/>
      <c r="W277" s="104"/>
      <c r="X277" s="16"/>
      <c r="Y277" s="104"/>
      <c r="Z277" s="16"/>
      <c r="AA277" s="16"/>
      <c r="AB277" s="16"/>
      <c r="AC277" s="16"/>
      <c r="AD277" s="102"/>
      <c r="AE277" s="467"/>
      <c r="AF277" s="106"/>
      <c r="AG277" s="11"/>
      <c r="AH277" s="11"/>
      <c r="AI277" s="143"/>
      <c r="AJ277" s="105"/>
      <c r="AK277" s="519"/>
      <c r="AL277" s="519"/>
      <c r="AM277" s="519"/>
      <c r="AN277" s="519"/>
      <c r="AO277" s="519"/>
      <c r="AP277" s="519"/>
      <c r="AQ277" s="515"/>
      <c r="AR277" s="519"/>
      <c r="AS277" s="515"/>
      <c r="AT277" s="515"/>
      <c r="AU277" s="515"/>
      <c r="AV277" s="515"/>
      <c r="AW277" s="515"/>
      <c r="AX277" s="515"/>
      <c r="AY277" s="515"/>
      <c r="AZ277" s="515"/>
      <c r="BA277" s="515"/>
      <c r="BB277" s="515"/>
      <c r="BC277" s="643"/>
      <c r="BD277" s="515"/>
      <c r="BE277" s="515"/>
      <c r="BF277" s="515"/>
      <c r="BG277" s="515"/>
      <c r="BH277" s="631"/>
      <c r="BI277" s="515"/>
      <c r="BJ277" s="515"/>
      <c r="BK277" s="515"/>
      <c r="BL277" s="515"/>
      <c r="BM277" s="515"/>
      <c r="BN277" s="515"/>
      <c r="BO277" s="516"/>
    </row>
    <row r="278" spans="1:67" s="517" customFormat="1">
      <c r="A278"/>
      <c r="B278" s="107"/>
      <c r="C278" s="107"/>
      <c r="D278" s="107"/>
      <c r="E278" s="107"/>
      <c r="F278" s="107"/>
      <c r="G278"/>
      <c r="H278"/>
      <c r="I278" s="29"/>
      <c r="J278"/>
      <c r="K278" s="16"/>
      <c r="L278"/>
      <c r="M278" s="108"/>
      <c r="N278" s="102"/>
      <c r="O278" s="28"/>
      <c r="P278" s="103"/>
      <c r="Q278" s="102"/>
      <c r="R278" s="16"/>
      <c r="S278" s="104"/>
      <c r="T278" s="16"/>
      <c r="U278" s="104"/>
      <c r="V278" s="16"/>
      <c r="W278" s="104"/>
      <c r="X278" s="16"/>
      <c r="Y278" s="104"/>
      <c r="Z278" s="16"/>
      <c r="AA278" s="16"/>
      <c r="AB278" s="16"/>
      <c r="AC278" s="16"/>
      <c r="AD278" s="102"/>
      <c r="AE278" s="467"/>
      <c r="AF278" s="106"/>
      <c r="AG278" s="11"/>
      <c r="AH278" s="11"/>
      <c r="AI278" s="143"/>
      <c r="AJ278" s="105"/>
      <c r="AK278" s="519"/>
      <c r="AL278" s="519"/>
      <c r="AM278" s="519"/>
      <c r="AN278" s="519"/>
      <c r="AO278" s="519"/>
      <c r="AP278" s="519"/>
      <c r="AQ278" s="515"/>
      <c r="AR278" s="519"/>
      <c r="AS278" s="515"/>
      <c r="AT278" s="515"/>
      <c r="AU278" s="515"/>
      <c r="AV278" s="515"/>
      <c r="AW278" s="515"/>
      <c r="AX278" s="515"/>
      <c r="AY278" s="515"/>
      <c r="AZ278" s="515"/>
      <c r="BA278" s="515"/>
      <c r="BB278" s="515"/>
      <c r="BC278" s="643"/>
      <c r="BD278" s="515"/>
      <c r="BE278" s="515"/>
      <c r="BF278" s="515"/>
      <c r="BG278" s="515"/>
      <c r="BH278" s="631"/>
      <c r="BI278" s="515"/>
      <c r="BJ278" s="515"/>
      <c r="BK278" s="515"/>
      <c r="BL278" s="515"/>
      <c r="BM278" s="515"/>
      <c r="BN278" s="515"/>
      <c r="BO278" s="516"/>
    </row>
    <row r="279" spans="1:67" s="517" customFormat="1">
      <c r="A279"/>
      <c r="B279" s="107"/>
      <c r="C279" s="107"/>
      <c r="D279" s="107"/>
      <c r="E279" s="107"/>
      <c r="F279" s="107"/>
      <c r="G279"/>
      <c r="H279"/>
      <c r="I279" s="29"/>
      <c r="J279"/>
      <c r="K279" s="16"/>
      <c r="L279"/>
      <c r="M279" s="108"/>
      <c r="N279" s="102"/>
      <c r="O279" s="28"/>
      <c r="P279" s="103"/>
      <c r="Q279" s="102"/>
      <c r="R279" s="16"/>
      <c r="S279" s="104"/>
      <c r="T279" s="16"/>
      <c r="U279" s="104"/>
      <c r="V279" s="16"/>
      <c r="W279" s="104"/>
      <c r="X279" s="16"/>
      <c r="Y279" s="104"/>
      <c r="Z279" s="16"/>
      <c r="AA279" s="16"/>
      <c r="AB279" s="16"/>
      <c r="AC279" s="16"/>
      <c r="AD279" s="102"/>
      <c r="AE279" s="467"/>
      <c r="AF279" s="106"/>
      <c r="AG279" s="11"/>
      <c r="AH279" s="11"/>
      <c r="AI279" s="143"/>
      <c r="AJ279" s="105"/>
      <c r="AK279" s="519"/>
      <c r="AL279" s="519"/>
      <c r="AM279" s="519"/>
      <c r="AN279" s="519"/>
      <c r="AO279" s="519"/>
      <c r="AP279" s="519"/>
      <c r="AQ279" s="515"/>
      <c r="AR279" s="519"/>
      <c r="AS279" s="515"/>
      <c r="AT279" s="515"/>
      <c r="AU279" s="515"/>
      <c r="AV279" s="515"/>
      <c r="AW279" s="515"/>
      <c r="AX279" s="515"/>
      <c r="AY279" s="515"/>
      <c r="AZ279" s="515"/>
      <c r="BA279" s="515"/>
      <c r="BB279" s="515"/>
      <c r="BC279" s="643"/>
      <c r="BD279" s="515"/>
      <c r="BE279" s="515"/>
      <c r="BF279" s="515"/>
      <c r="BG279" s="515"/>
      <c r="BH279" s="631"/>
      <c r="BI279" s="515"/>
      <c r="BJ279" s="515"/>
      <c r="BK279" s="515"/>
      <c r="BL279" s="515"/>
      <c r="BM279" s="515"/>
      <c r="BN279" s="515"/>
      <c r="BO279" s="516"/>
    </row>
    <row r="280" spans="1:67" s="517" customFormat="1">
      <c r="A280"/>
      <c r="B280" s="107"/>
      <c r="C280" s="107"/>
      <c r="D280" s="107"/>
      <c r="E280" s="107"/>
      <c r="F280" s="107"/>
      <c r="G280"/>
      <c r="H280"/>
      <c r="I280" s="29"/>
      <c r="J280"/>
      <c r="K280" s="16"/>
      <c r="L280"/>
      <c r="M280" s="108"/>
      <c r="N280" s="102"/>
      <c r="O280" s="28"/>
      <c r="P280" s="103"/>
      <c r="Q280" s="102"/>
      <c r="R280" s="16"/>
      <c r="S280" s="104"/>
      <c r="T280" s="16"/>
      <c r="U280" s="104"/>
      <c r="V280" s="16"/>
      <c r="W280" s="104"/>
      <c r="X280" s="16"/>
      <c r="Y280" s="104"/>
      <c r="Z280" s="16"/>
      <c r="AA280" s="16"/>
      <c r="AB280" s="16"/>
      <c r="AC280" s="16"/>
      <c r="AD280" s="102"/>
      <c r="AE280" s="467"/>
      <c r="AF280" s="106"/>
      <c r="AG280" s="11"/>
      <c r="AH280" s="11"/>
      <c r="AI280" s="143"/>
      <c r="AJ280" s="105"/>
      <c r="AK280" s="519"/>
      <c r="AL280" s="519"/>
      <c r="AM280" s="519"/>
      <c r="AN280" s="519"/>
      <c r="AO280" s="519"/>
      <c r="AP280" s="519"/>
      <c r="AQ280" s="515"/>
      <c r="AR280" s="519"/>
      <c r="AS280" s="515"/>
      <c r="AT280" s="515"/>
      <c r="AU280" s="515"/>
      <c r="AV280" s="515"/>
      <c r="AW280" s="515"/>
      <c r="AX280" s="515"/>
      <c r="AY280" s="515"/>
      <c r="AZ280" s="515"/>
      <c r="BA280" s="515"/>
      <c r="BB280" s="515"/>
      <c r="BC280" s="643"/>
      <c r="BD280" s="515"/>
      <c r="BE280" s="515"/>
      <c r="BF280" s="515"/>
      <c r="BG280" s="515"/>
      <c r="BH280" s="631"/>
      <c r="BI280" s="515"/>
      <c r="BJ280" s="515"/>
      <c r="BK280" s="515"/>
      <c r="BL280" s="515"/>
      <c r="BM280" s="515"/>
      <c r="BN280" s="515"/>
      <c r="BO280" s="516"/>
    </row>
    <row r="281" spans="1:67" s="517" customFormat="1">
      <c r="A281"/>
      <c r="B281" s="107"/>
      <c r="C281" s="107"/>
      <c r="D281" s="107"/>
      <c r="E281" s="107"/>
      <c r="F281" s="107"/>
      <c r="G281"/>
      <c r="H281"/>
      <c r="I281" s="29"/>
      <c r="J281"/>
      <c r="K281" s="16"/>
      <c r="L281"/>
      <c r="M281" s="108"/>
      <c r="N281" s="102"/>
      <c r="O281" s="28"/>
      <c r="P281" s="103"/>
      <c r="Q281" s="102"/>
      <c r="R281" s="16"/>
      <c r="S281" s="104"/>
      <c r="T281" s="16"/>
      <c r="U281" s="104"/>
      <c r="V281" s="16"/>
      <c r="W281" s="104"/>
      <c r="X281" s="16"/>
      <c r="Y281" s="104"/>
      <c r="Z281" s="16"/>
      <c r="AA281" s="16"/>
      <c r="AB281" s="16"/>
      <c r="AC281" s="16"/>
      <c r="AD281" s="102"/>
      <c r="AE281" s="467"/>
      <c r="AF281" s="106"/>
      <c r="AG281" s="11"/>
      <c r="AH281" s="11"/>
      <c r="AI281" s="143"/>
      <c r="AJ281" s="105"/>
      <c r="AK281" s="519"/>
      <c r="AL281" s="519"/>
      <c r="AM281" s="519"/>
      <c r="AN281" s="519"/>
      <c r="AO281" s="519"/>
      <c r="AP281" s="519"/>
      <c r="AQ281" s="515"/>
      <c r="AR281" s="519"/>
      <c r="AS281" s="515"/>
      <c r="AT281" s="515"/>
      <c r="AU281" s="515"/>
      <c r="AV281" s="515"/>
      <c r="AW281" s="515"/>
      <c r="AX281" s="515"/>
      <c r="AY281" s="515"/>
      <c r="AZ281" s="515"/>
      <c r="BA281" s="515"/>
      <c r="BB281" s="515"/>
      <c r="BC281" s="643"/>
      <c r="BD281" s="515"/>
      <c r="BE281" s="515"/>
      <c r="BF281" s="515"/>
      <c r="BG281" s="515"/>
      <c r="BH281" s="631"/>
      <c r="BI281" s="515"/>
      <c r="BJ281" s="515"/>
      <c r="BK281" s="515"/>
      <c r="BL281" s="515"/>
      <c r="BM281" s="515"/>
      <c r="BN281" s="515"/>
      <c r="BO281" s="516"/>
    </row>
    <row r="282" spans="1:67" s="517" customFormat="1">
      <c r="A282"/>
      <c r="B282" s="107"/>
      <c r="C282" s="107"/>
      <c r="D282" s="107"/>
      <c r="E282" s="107"/>
      <c r="F282" s="107"/>
      <c r="G282"/>
      <c r="H282"/>
      <c r="I282" s="29"/>
      <c r="J282"/>
      <c r="K282" s="16"/>
      <c r="L282"/>
      <c r="M282" s="108"/>
      <c r="N282" s="102"/>
      <c r="O282" s="28"/>
      <c r="P282" s="103"/>
      <c r="Q282" s="102"/>
      <c r="R282" s="16"/>
      <c r="S282" s="104"/>
      <c r="T282" s="16"/>
      <c r="U282" s="104"/>
      <c r="V282" s="16"/>
      <c r="W282" s="104"/>
      <c r="X282" s="16"/>
      <c r="Y282" s="104"/>
      <c r="Z282" s="16"/>
      <c r="AA282" s="16"/>
      <c r="AB282" s="16"/>
      <c r="AC282" s="16"/>
      <c r="AD282" s="102"/>
      <c r="AE282" s="467"/>
      <c r="AF282" s="106"/>
      <c r="AG282" s="11"/>
      <c r="AH282" s="11"/>
      <c r="AI282" s="143"/>
      <c r="AJ282" s="105"/>
      <c r="AK282" s="519"/>
      <c r="AL282" s="519"/>
      <c r="AM282" s="519"/>
      <c r="AN282" s="519"/>
      <c r="AO282" s="519"/>
      <c r="AP282" s="519"/>
      <c r="AQ282" s="515"/>
      <c r="AR282" s="519"/>
      <c r="AS282" s="515"/>
      <c r="AT282" s="515"/>
      <c r="AU282" s="515"/>
      <c r="AV282" s="515"/>
      <c r="AW282" s="515"/>
      <c r="AX282" s="515"/>
      <c r="AY282" s="515"/>
      <c r="AZ282" s="515"/>
      <c r="BA282" s="515"/>
      <c r="BB282" s="515"/>
      <c r="BC282" s="643"/>
      <c r="BD282" s="515"/>
      <c r="BE282" s="515"/>
      <c r="BF282" s="515"/>
      <c r="BG282" s="515"/>
      <c r="BH282" s="631"/>
      <c r="BI282" s="515"/>
      <c r="BJ282" s="515"/>
      <c r="BK282" s="515"/>
      <c r="BL282" s="515"/>
      <c r="BM282" s="515"/>
      <c r="BN282" s="515"/>
      <c r="BO282" s="516"/>
    </row>
    <row r="283" spans="1:67" s="517" customFormat="1">
      <c r="A283"/>
      <c r="B283" s="107"/>
      <c r="C283" s="107"/>
      <c r="D283" s="107"/>
      <c r="E283" s="107"/>
      <c r="F283" s="107"/>
      <c r="G283"/>
      <c r="H283"/>
      <c r="I283" s="29"/>
      <c r="J283"/>
      <c r="K283" s="16"/>
      <c r="L283"/>
      <c r="M283" s="108"/>
      <c r="N283" s="102"/>
      <c r="O283" s="28"/>
      <c r="P283" s="103"/>
      <c r="Q283" s="102"/>
      <c r="R283" s="16"/>
      <c r="S283" s="104"/>
      <c r="T283" s="16"/>
      <c r="U283" s="104"/>
      <c r="V283" s="16"/>
      <c r="W283" s="104"/>
      <c r="X283" s="16"/>
      <c r="Y283" s="104"/>
      <c r="Z283" s="16"/>
      <c r="AA283" s="16"/>
      <c r="AB283" s="16"/>
      <c r="AC283" s="16"/>
      <c r="AD283" s="102"/>
      <c r="AE283" s="467"/>
      <c r="AF283" s="106"/>
      <c r="AG283" s="11"/>
      <c r="AH283" s="11"/>
      <c r="AI283" s="143"/>
      <c r="AJ283" s="105"/>
      <c r="AK283" s="519"/>
      <c r="AL283" s="519"/>
      <c r="AM283" s="519"/>
      <c r="AN283" s="519"/>
      <c r="AO283" s="519"/>
      <c r="AP283" s="519"/>
      <c r="AQ283" s="515"/>
      <c r="AR283" s="519"/>
      <c r="AS283" s="515"/>
      <c r="AT283" s="515"/>
      <c r="AU283" s="515"/>
      <c r="AV283" s="515"/>
      <c r="AW283" s="515"/>
      <c r="AX283" s="515"/>
      <c r="AY283" s="515"/>
      <c r="AZ283" s="515"/>
      <c r="BA283" s="515"/>
      <c r="BB283" s="515"/>
      <c r="BC283" s="643"/>
      <c r="BD283" s="515"/>
      <c r="BE283" s="515"/>
      <c r="BF283" s="515"/>
      <c r="BG283" s="515"/>
      <c r="BH283" s="631"/>
      <c r="BI283" s="515"/>
      <c r="BJ283" s="515"/>
      <c r="BK283" s="515"/>
      <c r="BL283" s="515"/>
      <c r="BM283" s="515"/>
      <c r="BN283" s="515"/>
      <c r="BO283" s="516"/>
    </row>
    <row r="284" spans="1:67" s="517" customFormat="1">
      <c r="A284"/>
      <c r="B284" s="107"/>
      <c r="C284" s="107"/>
      <c r="D284" s="107"/>
      <c r="E284" s="107"/>
      <c r="F284" s="107"/>
      <c r="G284"/>
      <c r="H284"/>
      <c r="I284" s="29"/>
      <c r="J284"/>
      <c r="K284" s="16"/>
      <c r="L284"/>
      <c r="M284" s="108"/>
      <c r="N284" s="102"/>
      <c r="O284" s="28"/>
      <c r="P284" s="103"/>
      <c r="Q284" s="102"/>
      <c r="R284" s="16"/>
      <c r="S284" s="104"/>
      <c r="T284" s="16"/>
      <c r="U284" s="104"/>
      <c r="V284" s="16"/>
      <c r="W284" s="104"/>
      <c r="X284" s="16"/>
      <c r="Y284" s="104"/>
      <c r="Z284" s="16"/>
      <c r="AA284" s="16"/>
      <c r="AB284" s="16"/>
      <c r="AC284" s="16"/>
      <c r="AD284" s="102"/>
      <c r="AE284" s="467"/>
      <c r="AF284" s="106"/>
      <c r="AG284" s="11"/>
      <c r="AH284" s="11"/>
      <c r="AI284" s="143"/>
      <c r="AJ284" s="105"/>
      <c r="AK284" s="519"/>
      <c r="AL284" s="519"/>
      <c r="AM284" s="519"/>
      <c r="AN284" s="519"/>
      <c r="AO284" s="519"/>
      <c r="AP284" s="519"/>
      <c r="AQ284" s="515"/>
      <c r="AR284" s="519"/>
      <c r="AS284" s="515"/>
      <c r="AT284" s="515"/>
      <c r="AU284" s="515"/>
      <c r="AV284" s="515"/>
      <c r="AW284" s="515"/>
      <c r="AX284" s="515"/>
      <c r="AY284" s="515"/>
      <c r="AZ284" s="515"/>
      <c r="BA284" s="515"/>
      <c r="BB284" s="515"/>
      <c r="BC284" s="643"/>
      <c r="BD284" s="515"/>
      <c r="BE284" s="515"/>
      <c r="BF284" s="515"/>
      <c r="BG284" s="515"/>
      <c r="BH284" s="631"/>
      <c r="BI284" s="515"/>
      <c r="BJ284" s="515"/>
      <c r="BK284" s="515"/>
      <c r="BL284" s="515"/>
      <c r="BM284" s="515"/>
      <c r="BN284" s="515"/>
      <c r="BO284" s="516"/>
    </row>
    <row r="285" spans="1:67" s="517" customFormat="1">
      <c r="A285"/>
      <c r="B285" s="107"/>
      <c r="C285" s="107"/>
      <c r="D285" s="107"/>
      <c r="E285" s="107"/>
      <c r="F285" s="107"/>
      <c r="G285"/>
      <c r="H285"/>
      <c r="I285" s="29"/>
      <c r="J285"/>
      <c r="K285" s="16"/>
      <c r="L285"/>
      <c r="M285" s="108"/>
      <c r="N285" s="102"/>
      <c r="O285" s="28"/>
      <c r="P285" s="103"/>
      <c r="Q285" s="102"/>
      <c r="R285" s="16"/>
      <c r="S285" s="104"/>
      <c r="T285" s="16"/>
      <c r="U285" s="104"/>
      <c r="V285" s="16"/>
      <c r="W285" s="104"/>
      <c r="X285" s="16"/>
      <c r="Y285" s="104"/>
      <c r="Z285" s="16"/>
      <c r="AA285" s="16"/>
      <c r="AB285" s="16"/>
      <c r="AC285" s="16"/>
      <c r="AD285" s="102"/>
      <c r="AE285" s="467"/>
      <c r="AF285" s="106"/>
      <c r="AG285" s="11"/>
      <c r="AH285" s="11"/>
      <c r="AI285" s="143"/>
      <c r="AJ285" s="105"/>
      <c r="AK285" s="519"/>
      <c r="AL285" s="519"/>
      <c r="AM285" s="519"/>
      <c r="AN285" s="519"/>
      <c r="AO285" s="519"/>
      <c r="AP285" s="519"/>
      <c r="AQ285" s="515"/>
      <c r="AR285" s="519"/>
      <c r="AS285" s="515"/>
      <c r="AT285" s="515"/>
      <c r="AU285" s="515"/>
      <c r="AV285" s="515"/>
      <c r="AW285" s="515"/>
      <c r="AX285" s="515"/>
      <c r="AY285" s="515"/>
      <c r="AZ285" s="515"/>
      <c r="BA285" s="515"/>
      <c r="BB285" s="515"/>
      <c r="BC285" s="643"/>
      <c r="BD285" s="515"/>
      <c r="BE285" s="515"/>
      <c r="BF285" s="515"/>
      <c r="BG285" s="515"/>
      <c r="BH285" s="631"/>
      <c r="BI285" s="515"/>
      <c r="BJ285" s="515"/>
      <c r="BK285" s="515"/>
      <c r="BL285" s="515"/>
      <c r="BM285" s="515"/>
      <c r="BN285" s="515"/>
      <c r="BO285" s="516"/>
    </row>
    <row r="286" spans="1:67" s="517" customFormat="1">
      <c r="A286"/>
      <c r="B286" s="107"/>
      <c r="C286" s="107"/>
      <c r="D286" s="107"/>
      <c r="E286" s="107"/>
      <c r="F286" s="107"/>
      <c r="G286"/>
      <c r="H286"/>
      <c r="I286" s="29"/>
      <c r="J286"/>
      <c r="K286" s="16"/>
      <c r="L286"/>
      <c r="M286" s="108"/>
      <c r="N286" s="102"/>
      <c r="O286" s="28"/>
      <c r="P286" s="103"/>
      <c r="Q286" s="102"/>
      <c r="R286" s="16"/>
      <c r="S286" s="104"/>
      <c r="T286" s="16"/>
      <c r="U286" s="104"/>
      <c r="V286" s="16"/>
      <c r="W286" s="104"/>
      <c r="X286" s="16"/>
      <c r="Y286" s="104"/>
      <c r="Z286" s="16"/>
      <c r="AA286" s="16"/>
      <c r="AB286" s="16"/>
      <c r="AC286" s="16"/>
      <c r="AD286" s="102"/>
      <c r="AE286" s="467"/>
      <c r="AF286" s="106"/>
      <c r="AG286" s="11"/>
      <c r="AH286" s="11"/>
      <c r="AI286" s="143"/>
      <c r="AJ286" s="105"/>
      <c r="AK286" s="519"/>
      <c r="AL286" s="519"/>
      <c r="AM286" s="519"/>
      <c r="AN286" s="519"/>
      <c r="AO286" s="519"/>
      <c r="AP286" s="519"/>
      <c r="AQ286" s="515"/>
      <c r="AR286" s="519"/>
      <c r="AS286" s="515"/>
      <c r="AT286" s="515"/>
      <c r="AU286" s="515"/>
      <c r="AV286" s="515"/>
      <c r="AW286" s="515"/>
      <c r="AX286" s="515"/>
      <c r="AY286" s="515"/>
      <c r="AZ286" s="515"/>
      <c r="BA286" s="515"/>
      <c r="BB286" s="515"/>
      <c r="BC286" s="643"/>
      <c r="BD286" s="515"/>
      <c r="BE286" s="515"/>
      <c r="BF286" s="515"/>
      <c r="BG286" s="515"/>
      <c r="BH286" s="631"/>
      <c r="BI286" s="515"/>
      <c r="BJ286" s="515"/>
      <c r="BK286" s="515"/>
      <c r="BL286" s="515"/>
      <c r="BM286" s="515"/>
      <c r="BN286" s="515"/>
      <c r="BO286" s="516"/>
    </row>
    <row r="287" spans="1:67" s="517" customFormat="1">
      <c r="A287"/>
      <c r="B287" s="107"/>
      <c r="C287" s="107"/>
      <c r="D287" s="107"/>
      <c r="E287" s="107"/>
      <c r="F287" s="107"/>
      <c r="G287"/>
      <c r="H287"/>
      <c r="I287" s="29"/>
      <c r="J287"/>
      <c r="K287" s="16"/>
      <c r="L287"/>
      <c r="M287" s="108"/>
      <c r="N287" s="102"/>
      <c r="O287" s="28"/>
      <c r="P287" s="103"/>
      <c r="Q287" s="102"/>
      <c r="R287" s="16"/>
      <c r="S287" s="104"/>
      <c r="T287" s="16"/>
      <c r="U287" s="104"/>
      <c r="V287" s="16"/>
      <c r="W287" s="104"/>
      <c r="X287" s="16"/>
      <c r="Y287" s="104"/>
      <c r="Z287" s="16"/>
      <c r="AA287" s="16"/>
      <c r="AB287" s="16"/>
      <c r="AC287" s="16"/>
      <c r="AD287" s="102"/>
      <c r="AE287" s="467"/>
      <c r="AF287" s="106"/>
      <c r="AG287" s="11"/>
      <c r="AH287" s="11"/>
      <c r="AI287" s="143"/>
      <c r="AJ287" s="105"/>
      <c r="AK287" s="519"/>
      <c r="AL287" s="519"/>
      <c r="AM287" s="519"/>
      <c r="AN287" s="519"/>
      <c r="AO287" s="519"/>
      <c r="AP287" s="519"/>
      <c r="AQ287" s="515"/>
      <c r="AR287" s="519"/>
      <c r="AS287" s="515"/>
      <c r="AT287" s="515"/>
      <c r="AU287" s="515"/>
      <c r="AV287" s="515"/>
      <c r="AW287" s="515"/>
      <c r="AX287" s="515"/>
      <c r="AY287" s="515"/>
      <c r="AZ287" s="515"/>
      <c r="BA287" s="515"/>
      <c r="BB287" s="515"/>
      <c r="BC287" s="643"/>
      <c r="BD287" s="515"/>
      <c r="BE287" s="515"/>
      <c r="BF287" s="515"/>
      <c r="BG287" s="515"/>
      <c r="BH287" s="631"/>
      <c r="BI287" s="515"/>
      <c r="BJ287" s="515"/>
      <c r="BK287" s="515"/>
      <c r="BL287" s="515"/>
      <c r="BM287" s="515"/>
      <c r="BN287" s="515"/>
      <c r="BO287" s="516"/>
    </row>
    <row r="288" spans="1:67" s="517" customFormat="1">
      <c r="A288"/>
      <c r="B288" s="107"/>
      <c r="C288" s="107"/>
      <c r="D288" s="107"/>
      <c r="E288" s="107"/>
      <c r="F288" s="107"/>
      <c r="G288"/>
      <c r="H288"/>
      <c r="I288" s="29"/>
      <c r="J288"/>
      <c r="K288" s="16"/>
      <c r="L288"/>
      <c r="M288" s="108"/>
      <c r="N288" s="102"/>
      <c r="O288" s="28"/>
      <c r="P288" s="103"/>
      <c r="Q288" s="102"/>
      <c r="R288" s="16"/>
      <c r="S288" s="104"/>
      <c r="T288" s="16"/>
      <c r="U288" s="104"/>
      <c r="V288" s="16"/>
      <c r="W288" s="104"/>
      <c r="X288" s="16"/>
      <c r="Y288" s="104"/>
      <c r="Z288" s="16"/>
      <c r="AA288" s="16"/>
      <c r="AB288" s="16"/>
      <c r="AC288" s="16"/>
      <c r="AD288" s="102"/>
      <c r="AE288" s="467"/>
      <c r="AF288" s="106"/>
      <c r="AG288" s="11"/>
      <c r="AH288" s="11"/>
      <c r="AI288" s="143"/>
      <c r="AJ288" s="105"/>
      <c r="AK288" s="519"/>
      <c r="AL288" s="519"/>
      <c r="AM288" s="519"/>
      <c r="AN288" s="519"/>
      <c r="AO288" s="519"/>
      <c r="AP288" s="519"/>
      <c r="AQ288" s="515"/>
      <c r="AR288" s="519"/>
      <c r="AS288" s="515"/>
      <c r="AT288" s="515"/>
      <c r="AU288" s="515"/>
      <c r="AV288" s="515"/>
      <c r="AW288" s="515"/>
      <c r="AX288" s="515"/>
      <c r="AY288" s="515"/>
      <c r="AZ288" s="515"/>
      <c r="BA288" s="515"/>
      <c r="BB288" s="515"/>
      <c r="BC288" s="643"/>
      <c r="BD288" s="515"/>
      <c r="BE288" s="515"/>
      <c r="BF288" s="515"/>
      <c r="BG288" s="515"/>
      <c r="BH288" s="631"/>
      <c r="BI288" s="515"/>
      <c r="BJ288" s="515"/>
      <c r="BK288" s="515"/>
      <c r="BL288" s="515"/>
      <c r="BM288" s="515"/>
      <c r="BN288" s="515"/>
      <c r="BO288" s="516"/>
    </row>
    <row r="289" spans="1:67" s="517" customFormat="1">
      <c r="A289"/>
      <c r="B289" s="107"/>
      <c r="C289" s="107"/>
      <c r="D289" s="107"/>
      <c r="E289" s="107"/>
      <c r="F289" s="107"/>
      <c r="G289"/>
      <c r="H289"/>
      <c r="I289" s="29"/>
      <c r="J289"/>
      <c r="K289" s="16"/>
      <c r="L289"/>
      <c r="M289" s="108"/>
      <c r="N289" s="102"/>
      <c r="O289" s="28"/>
      <c r="P289" s="103"/>
      <c r="Q289" s="102"/>
      <c r="R289" s="16"/>
      <c r="S289" s="104"/>
      <c r="T289" s="16"/>
      <c r="U289" s="104"/>
      <c r="V289" s="16"/>
      <c r="W289" s="104"/>
      <c r="X289" s="16"/>
      <c r="Y289" s="104"/>
      <c r="Z289" s="16"/>
      <c r="AA289" s="16"/>
      <c r="AB289" s="16"/>
      <c r="AC289" s="16"/>
      <c r="AD289" s="102"/>
      <c r="AE289" s="467"/>
      <c r="AF289" s="106"/>
      <c r="AG289" s="11"/>
      <c r="AH289" s="11"/>
      <c r="AI289" s="143"/>
      <c r="AJ289" s="105"/>
      <c r="AK289" s="519"/>
      <c r="AL289" s="519"/>
      <c r="AM289" s="519"/>
      <c r="AN289" s="519"/>
      <c r="AO289" s="519"/>
      <c r="AP289" s="519"/>
      <c r="AQ289" s="515"/>
      <c r="AR289" s="519"/>
      <c r="AS289" s="515"/>
      <c r="AT289" s="515"/>
      <c r="AU289" s="515"/>
      <c r="AV289" s="515"/>
      <c r="AW289" s="515"/>
      <c r="AX289" s="515"/>
      <c r="AY289" s="515"/>
      <c r="AZ289" s="515"/>
      <c r="BA289" s="515"/>
      <c r="BB289" s="515"/>
      <c r="BC289" s="643"/>
      <c r="BD289" s="515"/>
      <c r="BE289" s="515"/>
      <c r="BF289" s="515"/>
      <c r="BG289" s="515"/>
      <c r="BH289" s="631"/>
      <c r="BI289" s="515"/>
      <c r="BJ289" s="515"/>
      <c r="BK289" s="515"/>
      <c r="BL289" s="515"/>
      <c r="BM289" s="515"/>
      <c r="BN289" s="515"/>
      <c r="BO289" s="516"/>
    </row>
    <row r="290" spans="1:67" s="517" customFormat="1">
      <c r="A290"/>
      <c r="B290" s="107"/>
      <c r="C290" s="107"/>
      <c r="D290" s="107"/>
      <c r="E290" s="107"/>
      <c r="F290" s="107"/>
      <c r="G290"/>
      <c r="H290"/>
      <c r="I290" s="29"/>
      <c r="J290"/>
      <c r="K290" s="16"/>
      <c r="L290"/>
      <c r="M290" s="108"/>
      <c r="N290" s="102"/>
      <c r="O290" s="28"/>
      <c r="P290" s="103"/>
      <c r="Q290" s="102"/>
      <c r="R290" s="16"/>
      <c r="S290" s="104"/>
      <c r="T290" s="16"/>
      <c r="U290" s="104"/>
      <c r="V290" s="16"/>
      <c r="W290" s="104"/>
      <c r="X290" s="16"/>
      <c r="Y290" s="104"/>
      <c r="Z290" s="16"/>
      <c r="AA290" s="16"/>
      <c r="AB290" s="16"/>
      <c r="AC290" s="16"/>
      <c r="AD290" s="102"/>
      <c r="AE290" s="467"/>
      <c r="AF290" s="106"/>
      <c r="AG290" s="11"/>
      <c r="AH290" s="11"/>
      <c r="AI290" s="143"/>
      <c r="AJ290" s="105"/>
      <c r="AK290" s="519"/>
      <c r="AL290" s="519"/>
      <c r="AM290" s="519"/>
      <c r="AN290" s="519"/>
      <c r="AO290" s="519"/>
      <c r="AP290" s="519"/>
      <c r="AQ290" s="515"/>
      <c r="AR290" s="519"/>
      <c r="AS290" s="515"/>
      <c r="AT290" s="515"/>
      <c r="AU290" s="515"/>
      <c r="AV290" s="515"/>
      <c r="AW290" s="515"/>
      <c r="AX290" s="515"/>
      <c r="AY290" s="515"/>
      <c r="AZ290" s="515"/>
      <c r="BA290" s="515"/>
      <c r="BB290" s="515"/>
      <c r="BC290" s="643"/>
      <c r="BD290" s="515"/>
      <c r="BE290" s="515"/>
      <c r="BF290" s="515"/>
      <c r="BG290" s="515"/>
      <c r="BH290" s="631"/>
      <c r="BI290" s="515"/>
      <c r="BJ290" s="515"/>
      <c r="BK290" s="515"/>
      <c r="BL290" s="515"/>
      <c r="BM290" s="515"/>
      <c r="BN290" s="515"/>
      <c r="BO290" s="516"/>
    </row>
    <row r="291" spans="1:67" s="517" customFormat="1">
      <c r="A291"/>
      <c r="B291" s="107"/>
      <c r="C291" s="107"/>
      <c r="D291" s="107"/>
      <c r="E291" s="107"/>
      <c r="F291" s="107"/>
      <c r="G291"/>
      <c r="H291"/>
      <c r="I291" s="29"/>
      <c r="J291"/>
      <c r="K291" s="16"/>
      <c r="L291"/>
      <c r="M291" s="108"/>
      <c r="N291" s="102"/>
      <c r="O291" s="28"/>
      <c r="P291" s="103"/>
      <c r="Q291" s="102"/>
      <c r="R291" s="16"/>
      <c r="S291" s="104"/>
      <c r="T291" s="16"/>
      <c r="U291" s="104"/>
      <c r="V291" s="16"/>
      <c r="W291" s="104"/>
      <c r="X291" s="16"/>
      <c r="Y291" s="104"/>
      <c r="Z291" s="16"/>
      <c r="AA291" s="16"/>
      <c r="AB291" s="16"/>
      <c r="AC291" s="16"/>
      <c r="AD291" s="102"/>
      <c r="AE291" s="467"/>
      <c r="AF291" s="106"/>
      <c r="AG291" s="11"/>
      <c r="AH291" s="11"/>
      <c r="AI291" s="143"/>
      <c r="AJ291" s="105"/>
      <c r="AK291" s="519"/>
      <c r="AL291" s="519"/>
      <c r="AM291" s="519"/>
      <c r="AN291" s="519"/>
      <c r="AO291" s="519"/>
      <c r="AP291" s="519"/>
      <c r="AQ291" s="515"/>
      <c r="AR291" s="519"/>
      <c r="AS291" s="515"/>
      <c r="AT291" s="515"/>
      <c r="AU291" s="515"/>
      <c r="AV291" s="515"/>
      <c r="AW291" s="515"/>
      <c r="AX291" s="515"/>
      <c r="AY291" s="515"/>
      <c r="AZ291" s="515"/>
      <c r="BA291" s="515"/>
      <c r="BB291" s="515"/>
      <c r="BC291" s="643"/>
      <c r="BD291" s="515"/>
      <c r="BE291" s="515"/>
      <c r="BF291" s="515"/>
      <c r="BG291" s="515"/>
      <c r="BH291" s="631"/>
      <c r="BI291" s="515"/>
      <c r="BJ291" s="515"/>
      <c r="BK291" s="515"/>
      <c r="BL291" s="515"/>
      <c r="BM291" s="515"/>
      <c r="BN291" s="515"/>
      <c r="BO291" s="516"/>
    </row>
    <row r="292" spans="1:67" s="517" customFormat="1">
      <c r="A292"/>
      <c r="B292" s="107"/>
      <c r="C292" s="107"/>
      <c r="D292" s="107"/>
      <c r="E292" s="107"/>
      <c r="F292" s="107"/>
      <c r="G292"/>
      <c r="H292"/>
      <c r="I292" s="29"/>
      <c r="J292"/>
      <c r="K292" s="16"/>
      <c r="L292"/>
      <c r="M292" s="108"/>
      <c r="N292" s="102"/>
      <c r="O292" s="28"/>
      <c r="P292" s="103"/>
      <c r="Q292" s="102"/>
      <c r="R292" s="16"/>
      <c r="S292" s="104"/>
      <c r="T292" s="16"/>
      <c r="U292" s="104"/>
      <c r="V292" s="16"/>
      <c r="W292" s="104"/>
      <c r="X292" s="16"/>
      <c r="Y292" s="104"/>
      <c r="Z292" s="16"/>
      <c r="AA292" s="16"/>
      <c r="AB292" s="16"/>
      <c r="AC292" s="16"/>
      <c r="AD292" s="102"/>
      <c r="AE292" s="467"/>
      <c r="AF292" s="106"/>
      <c r="AG292" s="11"/>
      <c r="AH292" s="11"/>
      <c r="AI292" s="143"/>
      <c r="AJ292" s="105"/>
      <c r="AK292" s="519"/>
      <c r="AL292" s="519"/>
      <c r="AM292" s="519"/>
      <c r="AN292" s="519"/>
      <c r="AO292" s="519"/>
      <c r="AP292" s="519"/>
      <c r="AQ292" s="515"/>
      <c r="AR292" s="519"/>
      <c r="AS292" s="515"/>
      <c r="AT292" s="515"/>
      <c r="AU292" s="515"/>
      <c r="AV292" s="515"/>
      <c r="AW292" s="515"/>
      <c r="AX292" s="515"/>
      <c r="AY292" s="515"/>
      <c r="AZ292" s="515"/>
      <c r="BA292" s="515"/>
      <c r="BB292" s="515"/>
      <c r="BC292" s="643"/>
      <c r="BD292" s="515"/>
      <c r="BE292" s="515"/>
      <c r="BF292" s="515"/>
      <c r="BG292" s="515"/>
      <c r="BH292" s="631"/>
      <c r="BI292" s="515"/>
      <c r="BJ292" s="515"/>
      <c r="BK292" s="515"/>
      <c r="BL292" s="515"/>
      <c r="BM292" s="515"/>
      <c r="BN292" s="515"/>
      <c r="BO292" s="516"/>
    </row>
    <row r="293" spans="1:67" s="517" customFormat="1">
      <c r="A293"/>
      <c r="B293" s="107"/>
      <c r="C293" s="107"/>
      <c r="D293" s="107"/>
      <c r="E293" s="107"/>
      <c r="F293" s="107"/>
      <c r="G293"/>
      <c r="H293"/>
      <c r="I293" s="29"/>
      <c r="J293"/>
      <c r="K293" s="16"/>
      <c r="L293"/>
      <c r="M293" s="108"/>
      <c r="N293" s="102"/>
      <c r="O293" s="28"/>
      <c r="P293" s="103"/>
      <c r="Q293" s="102"/>
      <c r="R293" s="16"/>
      <c r="S293" s="104"/>
      <c r="T293" s="16"/>
      <c r="U293" s="104"/>
      <c r="V293" s="16"/>
      <c r="W293" s="104"/>
      <c r="X293" s="16"/>
      <c r="Y293" s="104"/>
      <c r="Z293" s="16"/>
      <c r="AA293" s="16"/>
      <c r="AB293" s="16"/>
      <c r="AC293" s="16"/>
      <c r="AD293" s="102"/>
      <c r="AE293" s="467"/>
      <c r="AF293" s="106"/>
      <c r="AG293" s="11"/>
      <c r="AH293" s="11"/>
      <c r="AI293" s="143"/>
      <c r="AJ293" s="105"/>
      <c r="AK293" s="519"/>
      <c r="AL293" s="519"/>
      <c r="AM293" s="519"/>
      <c r="AN293" s="519"/>
      <c r="AO293" s="519"/>
      <c r="AP293" s="519"/>
      <c r="AQ293" s="515"/>
      <c r="AR293" s="519"/>
      <c r="AS293" s="515"/>
      <c r="AT293" s="515"/>
      <c r="AU293" s="515"/>
      <c r="AV293" s="515"/>
      <c r="AW293" s="515"/>
      <c r="AX293" s="515"/>
      <c r="AY293" s="515"/>
      <c r="AZ293" s="515"/>
      <c r="BA293" s="515"/>
      <c r="BB293" s="515"/>
      <c r="BC293" s="643"/>
      <c r="BD293" s="515"/>
      <c r="BE293" s="515"/>
      <c r="BF293" s="515"/>
      <c r="BG293" s="515"/>
      <c r="BH293" s="631"/>
      <c r="BI293" s="515"/>
      <c r="BJ293" s="515"/>
      <c r="BK293" s="515"/>
      <c r="BL293" s="515"/>
      <c r="BM293" s="515"/>
      <c r="BN293" s="515"/>
      <c r="BO293" s="516"/>
    </row>
    <row r="294" spans="1:67" s="517" customFormat="1">
      <c r="A294"/>
      <c r="B294" s="107"/>
      <c r="C294" s="107"/>
      <c r="D294" s="107"/>
      <c r="E294" s="107"/>
      <c r="F294" s="107"/>
      <c r="G294"/>
      <c r="H294"/>
      <c r="I294" s="29"/>
      <c r="J294"/>
      <c r="K294" s="16"/>
      <c r="L294"/>
      <c r="M294" s="108"/>
      <c r="N294" s="102"/>
      <c r="O294" s="28"/>
      <c r="P294" s="103"/>
      <c r="Q294" s="102"/>
      <c r="R294" s="16"/>
      <c r="S294" s="104"/>
      <c r="T294" s="16"/>
      <c r="U294" s="104"/>
      <c r="V294" s="16"/>
      <c r="W294" s="104"/>
      <c r="X294" s="16"/>
      <c r="Y294" s="104"/>
      <c r="Z294" s="16"/>
      <c r="AA294" s="16"/>
      <c r="AB294" s="16"/>
      <c r="AC294" s="16"/>
      <c r="AD294" s="102"/>
      <c r="AE294" s="467"/>
      <c r="AF294" s="106"/>
      <c r="AG294" s="11"/>
      <c r="AH294" s="11"/>
      <c r="AI294" s="143"/>
      <c r="AJ294" s="105"/>
      <c r="AK294" s="519"/>
      <c r="AL294" s="519"/>
      <c r="AM294" s="519"/>
      <c r="AN294" s="519"/>
      <c r="AO294" s="519"/>
      <c r="AP294" s="519"/>
      <c r="AQ294" s="515"/>
      <c r="AR294" s="519"/>
      <c r="AS294" s="515"/>
      <c r="AT294" s="515"/>
      <c r="AU294" s="515"/>
      <c r="AV294" s="515"/>
      <c r="AW294" s="515"/>
      <c r="AX294" s="515"/>
      <c r="AY294" s="515"/>
      <c r="AZ294" s="515"/>
      <c r="BA294" s="515"/>
      <c r="BB294" s="515"/>
      <c r="BC294" s="643"/>
      <c r="BD294" s="515"/>
      <c r="BE294" s="515"/>
      <c r="BF294" s="515"/>
      <c r="BG294" s="515"/>
      <c r="BH294" s="631"/>
      <c r="BI294" s="515"/>
      <c r="BJ294" s="515"/>
      <c r="BK294" s="515"/>
      <c r="BL294" s="515"/>
      <c r="BM294" s="515"/>
      <c r="BN294" s="515"/>
      <c r="BO294" s="516"/>
    </row>
    <row r="295" spans="1:67">
      <c r="Q295" s="102"/>
    </row>
    <row r="296" spans="1:67">
      <c r="Q296" s="102"/>
    </row>
    <row r="297" spans="1:67">
      <c r="Q297" s="102"/>
    </row>
    <row r="298" spans="1:67">
      <c r="Q298" s="102"/>
    </row>
    <row r="299" spans="1:67">
      <c r="Q299" s="102"/>
    </row>
    <row r="300" spans="1:67">
      <c r="Q300" s="102"/>
    </row>
  </sheetData>
  <sheetProtection algorithmName="SHA-512" hashValue="02yy3dmV0UX27xZZLmG16gTf33mFtF2lZq0Tmm5WzvwmzObFt3WxuEuc/VdDmgw2pTvBc+roDNegEJexf73YCA==" saltValue="XJQ5M0redrX7JB7OMJs76Q==" spinCount="100000" sheet="1" formatColumns="0" formatRows="0" sort="0" autoFilter="0"/>
  <autoFilter ref="BE11:BE12" xr:uid="{12455542-A36C-492D-90AA-570031E4E39B}"/>
  <dataConsolidate/>
  <mergeCells count="136">
    <mergeCell ref="B109:F109"/>
    <mergeCell ref="B110:F110"/>
    <mergeCell ref="B77:F77"/>
    <mergeCell ref="B78:F78"/>
    <mergeCell ref="B79:F79"/>
    <mergeCell ref="B80:F80"/>
    <mergeCell ref="B84:F84"/>
    <mergeCell ref="B85:F85"/>
    <mergeCell ref="B86:F86"/>
    <mergeCell ref="B87:F87"/>
    <mergeCell ref="B88:F88"/>
    <mergeCell ref="B89:F89"/>
    <mergeCell ref="B111:F111"/>
    <mergeCell ref="AE4:AJ4"/>
    <mergeCell ref="B94:F94"/>
    <mergeCell ref="B95:F95"/>
    <mergeCell ref="B96:F96"/>
    <mergeCell ref="B97:F97"/>
    <mergeCell ref="B98:F98"/>
    <mergeCell ref="B99:F99"/>
    <mergeCell ref="B100:F100"/>
    <mergeCell ref="B101:F101"/>
    <mergeCell ref="B102:F102"/>
    <mergeCell ref="B103:F103"/>
    <mergeCell ref="B104:F104"/>
    <mergeCell ref="B105:F105"/>
    <mergeCell ref="B106:F106"/>
    <mergeCell ref="B107:F107"/>
    <mergeCell ref="B108:F108"/>
    <mergeCell ref="B90:F90"/>
    <mergeCell ref="B91:F91"/>
    <mergeCell ref="B92:F92"/>
    <mergeCell ref="B93:F93"/>
    <mergeCell ref="B60:F60"/>
    <mergeCell ref="B61:F61"/>
    <mergeCell ref="B62:F62"/>
    <mergeCell ref="B63:F63"/>
    <mergeCell ref="B64:F64"/>
    <mergeCell ref="B65:F65"/>
    <mergeCell ref="B66:F66"/>
    <mergeCell ref="B67:F67"/>
    <mergeCell ref="B68:F68"/>
    <mergeCell ref="B69:F69"/>
    <mergeCell ref="B70:F70"/>
    <mergeCell ref="B71:F71"/>
    <mergeCell ref="B72:F72"/>
    <mergeCell ref="B73:F73"/>
    <mergeCell ref="B74:F74"/>
    <mergeCell ref="B75:F75"/>
    <mergeCell ref="B76:F76"/>
    <mergeCell ref="B81:F81"/>
    <mergeCell ref="B82:F82"/>
    <mergeCell ref="B83:F83"/>
    <mergeCell ref="B43:F43"/>
    <mergeCell ref="B44:F44"/>
    <mergeCell ref="B45:F45"/>
    <mergeCell ref="B46:F46"/>
    <mergeCell ref="B47:F47"/>
    <mergeCell ref="B48:F48"/>
    <mergeCell ref="B49:F49"/>
    <mergeCell ref="B50:F50"/>
    <mergeCell ref="B51:F51"/>
    <mergeCell ref="B52:F52"/>
    <mergeCell ref="B53:F53"/>
    <mergeCell ref="B54:F54"/>
    <mergeCell ref="B55:F55"/>
    <mergeCell ref="B56:F56"/>
    <mergeCell ref="B57:F57"/>
    <mergeCell ref="B58:F58"/>
    <mergeCell ref="B59:F59"/>
    <mergeCell ref="B12:F12"/>
    <mergeCell ref="B13:F13"/>
    <mergeCell ref="B14:F14"/>
    <mergeCell ref="B16:F16"/>
    <mergeCell ref="B17:F17"/>
    <mergeCell ref="B18:F18"/>
    <mergeCell ref="B19:F19"/>
    <mergeCell ref="B20:F20"/>
    <mergeCell ref="B21:F21"/>
    <mergeCell ref="B22:F22"/>
    <mergeCell ref="B23:F23"/>
    <mergeCell ref="B24:F24"/>
    <mergeCell ref="B25:F25"/>
    <mergeCell ref="B26:F26"/>
    <mergeCell ref="B27:F27"/>
    <mergeCell ref="B28:F28"/>
    <mergeCell ref="B38:F38"/>
    <mergeCell ref="B39:F39"/>
    <mergeCell ref="B40:F40"/>
    <mergeCell ref="B41:F41"/>
    <mergeCell ref="B42:F42"/>
    <mergeCell ref="B34:F34"/>
    <mergeCell ref="B35:F35"/>
    <mergeCell ref="AE5:AI5"/>
    <mergeCell ref="A7:M7"/>
    <mergeCell ref="P10:AA11"/>
    <mergeCell ref="AB10:AB11"/>
    <mergeCell ref="AC10:AD10"/>
    <mergeCell ref="L10:L11"/>
    <mergeCell ref="M10:M11"/>
    <mergeCell ref="N10:N11"/>
    <mergeCell ref="O10:O11"/>
    <mergeCell ref="A10:A11"/>
    <mergeCell ref="B10:F11"/>
    <mergeCell ref="G10:G11"/>
    <mergeCell ref="AG10:AH10"/>
    <mergeCell ref="A3:C3"/>
    <mergeCell ref="D3:J3"/>
    <mergeCell ref="A5:K5"/>
    <mergeCell ref="L5:M5"/>
    <mergeCell ref="B29:F29"/>
    <mergeCell ref="B30:F30"/>
    <mergeCell ref="B31:F31"/>
    <mergeCell ref="B32:F32"/>
    <mergeCell ref="B33:F33"/>
    <mergeCell ref="B36:F36"/>
    <mergeCell ref="B37:F37"/>
    <mergeCell ref="H10:I10"/>
    <mergeCell ref="J10:J11"/>
    <mergeCell ref="K10:K11"/>
    <mergeCell ref="B15:F15"/>
    <mergeCell ref="AK11:AL11"/>
    <mergeCell ref="AQ8:AX8"/>
    <mergeCell ref="AZ8:BE8"/>
    <mergeCell ref="BG8:BH8"/>
    <mergeCell ref="BI8:BK8"/>
    <mergeCell ref="AC9:AD9"/>
    <mergeCell ref="BM6:BO6"/>
    <mergeCell ref="B6:K6"/>
    <mergeCell ref="L6:M6"/>
    <mergeCell ref="AE6:AI6"/>
    <mergeCell ref="AX6:BE6"/>
    <mergeCell ref="BF6:BI6"/>
    <mergeCell ref="BK6:BL6"/>
    <mergeCell ref="AG9:AH9"/>
    <mergeCell ref="AE7:AI7"/>
  </mergeCells>
  <phoneticPr fontId="12"/>
  <conditionalFormatting sqref="A12:AL111">
    <cfRule type="expression" dxfId="28" priority="3">
      <formula>OR(ISNUMBER(SEARCH("介護予防ケアマネジメント",$K12)),ISNUMBER(SEARCH("訪問看護",$K12)),ISNUMBER(SEARCH("介護予防訪問看護",$K12)),ISNUMBER(SEARCH("訪問リハビリテーション",$K12)),ISNUMBER(SEARCH("介護予防訪問リハビリテーション",$K12)),ISNUMBER(SEARCH("居宅介護支援",$K12)),ISNUMBER(SEARCH("介護予防支援",$K12)))</formula>
    </cfRule>
  </conditionalFormatting>
  <conditionalFormatting sqref="N12:N111">
    <cfRule type="expression" dxfId="27" priority="17">
      <formula>AO12=""</formula>
    </cfRule>
  </conditionalFormatting>
  <conditionalFormatting sqref="Q12:Q113">
    <cfRule type="expression" dxfId="26" priority="4">
      <formula>N12&lt;&gt;""</formula>
    </cfRule>
  </conditionalFormatting>
  <conditionalFormatting sqref="S12:S111">
    <cfRule type="expression" dxfId="25" priority="16">
      <formula>N12&lt;&gt;""</formula>
    </cfRule>
  </conditionalFormatting>
  <conditionalFormatting sqref="U12:U111">
    <cfRule type="expression" dxfId="24" priority="9">
      <formula>N12&lt;&gt;""</formula>
    </cfRule>
  </conditionalFormatting>
  <conditionalFormatting sqref="W12:W111">
    <cfRule type="expression" dxfId="23" priority="15">
      <formula>N12&lt;&gt;""</formula>
    </cfRule>
  </conditionalFormatting>
  <conditionalFormatting sqref="AD12:AD111">
    <cfRule type="expression" dxfId="22" priority="14">
      <formula>AND($N12&lt;&gt;"", $AC12&lt;&gt;0, $AC12&lt;&gt;"")</formula>
    </cfRule>
  </conditionalFormatting>
  <conditionalFormatting sqref="AE12:AE111">
    <cfRule type="expression" dxfId="21" priority="12">
      <formula>AN12="加算対象"</formula>
    </cfRule>
  </conditionalFormatting>
  <conditionalFormatting sqref="AF12:AF111">
    <cfRule type="expression" dxfId="20" priority="10">
      <formula>AR12="AF列に色付け"</formula>
    </cfRule>
  </conditionalFormatting>
  <conditionalFormatting sqref="AF17">
    <cfRule type="expression" dxfId="19" priority="2">
      <formula>AO17="加算対象"</formula>
    </cfRule>
  </conditionalFormatting>
  <conditionalFormatting sqref="AG12:AH111">
    <cfRule type="expression" dxfId="18" priority="21">
      <formula>AU12&lt;&gt;""</formula>
    </cfRule>
  </conditionalFormatting>
  <conditionalFormatting sqref="AI12:AI111">
    <cfRule type="expression" dxfId="17" priority="27">
      <formula>AY12&lt;&gt;""</formula>
    </cfRule>
  </conditionalFormatting>
  <conditionalFormatting sqref="AI29">
    <cfRule type="expression" dxfId="16" priority="2385">
      <formula>OR(ISNUMBER(SEARCH("介護予防ケアマネジメント",$K30)),ISNUMBER(SEARCH("訪問看護",$K30)),ISNUMBER(SEARCH("介護予防訪問看護",$K30)),ISNUMBER(SEARCH("訪問リハビリテーション",$K30)),ISNUMBER(SEARCH("介護予防訪問リハビリテーション",$K30)),ISNUMBER(SEARCH("居宅介護支援",$K30)),ISNUMBER(SEARCH("介護予防支援",$K30)))</formula>
    </cfRule>
    <cfRule type="expression" dxfId="15" priority="2387">
      <formula>BB30&lt;&gt;""</formula>
    </cfRule>
  </conditionalFormatting>
  <conditionalFormatting sqref="AJ9">
    <cfRule type="expression" dxfId="14" priority="1">
      <formula>$BF$12=0</formula>
    </cfRule>
  </conditionalFormatting>
  <conditionalFormatting sqref="AJ12:AJ111">
    <cfRule type="expression" dxfId="13" priority="30">
      <formula>BB12&lt;&gt;""</formula>
    </cfRule>
  </conditionalFormatting>
  <dataValidations count="8">
    <dataValidation imeMode="halfAlpha" allowBlank="1" showInputMessage="1" showErrorMessage="1" sqref="M12:M111 G12:K111 B12:B111" xr:uid="{24205931-8EA4-4311-80D0-D0893AF91C56}"/>
    <dataValidation type="list" imeMode="halfAlpha" allowBlank="1" showDropDown="1" showInputMessage="1" showErrorMessage="1" error="このセルには４または５の数字しか入力できません。" sqref="W12 S12:S111" xr:uid="{30392500-3A0A-44D7-AB5D-0B167E5A0EBD}">
      <formula1>"4,5"</formula1>
    </dataValidation>
    <dataValidation type="list" imeMode="halfAlpha" allowBlank="1" showDropDown="1" showInputMessage="1" showErrorMessage="1" error="このセルには８しか入力できません。" sqref="U12:U111 Q12:Q113" xr:uid="{E33AB1C1-A087-4388-98D5-7B4DB5E0FE81}">
      <formula1>"8"</formula1>
    </dataValidation>
    <dataValidation type="list" imeMode="halfAlpha" allowBlank="1" showDropDown="1" showInputMessage="1" showErrorMessage="1" error="このセルには１～３または６～12_x000a_の数字しか入力できません。" sqref="W13:W111" xr:uid="{A2CAB2AC-1A9A-4620-9969-ED6C48C36ABA}">
      <formula1>"4,5"</formula1>
    </dataValidation>
    <dataValidation type="whole" operator="greaterThanOrEqual" allowBlank="1" showInputMessage="1" showErrorMessage="1" sqref="AG12:AG111" xr:uid="{D66F9346-523F-47E4-B1F0-23A668D4C8E0}">
      <formula1>0</formula1>
    </dataValidation>
    <dataValidation type="list" allowBlank="1" showInputMessage="1" showErrorMessage="1" sqref="AI12:AI111" xr:uid="{B4089FD1-BAD1-4349-A65A-20FA83272651}">
      <formula1>INDIRECT(AX12)</formula1>
    </dataValidation>
    <dataValidation type="list" allowBlank="1" showInputMessage="1" showErrorMessage="1" sqref="AI12:AI111" xr:uid="{41A620D9-2520-4492-B2A8-465B353ACF1C}">
      <formula1>INDIRECT(BA12)</formula1>
    </dataValidation>
    <dataValidation type="list" allowBlank="1" showInputMessage="1" showErrorMessage="1" sqref="AJ12:AJ111" xr:uid="{C8EDCD55-E562-4FC8-9E50-D09B63459B3F}">
      <formula1>INDIRECT(BA12)</formula1>
    </dataValidation>
  </dataValidations>
  <pageMargins left="0.70866141732283472" right="0.70866141732283472" top="0.74803149606299213" bottom="0.74803149606299213" header="0.31496062992125984" footer="0.31496062992125984"/>
  <pageSetup paperSize="9" scale="31"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89859D44-280A-442B-8C6B-35EC1654E6EB}">
          <x14:formula1>
            <xm:f>【参考】数式用!$C$3:$F$3</xm:f>
          </x14:formula1>
          <xm:sqref>N12:N111</xm:sqref>
        </x14:dataValidation>
        <x14:dataValidation type="list" allowBlank="1" showInputMessage="1" showErrorMessage="1" xr:uid="{5770768B-0EFC-44D9-AA9E-D5705594C235}">
          <x14:formula1>
            <xm:f>【参考】数式用!$BF$2:$BF$3</xm:f>
          </x14:formula1>
          <xm:sqref>AD12:AD111</xm:sqref>
        </x14:dataValidation>
        <x14:dataValidation type="list" allowBlank="1" showInputMessage="1" showErrorMessage="1" xr:uid="{9270AF9B-D30A-4D37-90ED-5C62BCBC85B2}">
          <x14:formula1>
            <xm:f>【参考】数式用!$BF$5:$BF$8</xm:f>
          </x14:formula1>
          <xm:sqref>AE12:AF111</xm:sqref>
        </x14:dataValidation>
        <x14:dataValidation type="list" allowBlank="1" showInputMessage="1" showErrorMessage="1" xr:uid="{3733F7C6-AC0B-462C-9E8B-6266215D8524}">
          <x14:formula1>
            <xm:f>【参考】数式用!$BF$22:$BF$25</xm:f>
          </x14:formula1>
          <xm:sqref>AH12:AH111</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819D7-2144-43A6-AA8C-BE3504C7B79A}">
  <sheetPr>
    <pageSetUpPr fitToPage="1"/>
  </sheetPr>
  <dimension ref="A1:BT111"/>
  <sheetViews>
    <sheetView view="pageBreakPreview" zoomScale="59" zoomScaleNormal="85" zoomScaleSheetLayoutView="59" zoomScalePageLayoutView="70" workbookViewId="0">
      <selection activeCell="BE13" sqref="BE12:BE111"/>
    </sheetView>
  </sheetViews>
  <sheetFormatPr defaultColWidth="2.5" defaultRowHeight="17.25"/>
  <cols>
    <col min="1" max="1" width="5.5" customWidth="1"/>
    <col min="2" max="6" width="2.5" style="107" customWidth="1"/>
    <col min="7" max="7" width="12.5" customWidth="1"/>
    <col min="8" max="8" width="9" customWidth="1"/>
    <col min="9" max="9" width="9.5" style="29" customWidth="1"/>
    <col min="10" max="10" width="19.5" customWidth="1"/>
    <col min="11" max="11" width="17.5" style="16" customWidth="1"/>
    <col min="12" max="12" width="14" customWidth="1"/>
    <col min="13" max="13" width="11.5" style="108" customWidth="1"/>
    <col min="14" max="14" width="25.125" style="102" customWidth="1"/>
    <col min="15" max="15" width="12" style="28" customWidth="1"/>
    <col min="16" max="16" width="6.5" style="103" customWidth="1"/>
    <col min="17" max="17" width="3" style="102" customWidth="1"/>
    <col min="18" max="18" width="3.75" style="16" customWidth="1"/>
    <col min="19" max="19" width="3.5" style="104" customWidth="1"/>
    <col min="20" max="20" width="10.25" style="16" customWidth="1"/>
    <col min="21" max="21" width="3.5" style="104" customWidth="1"/>
    <col min="22" max="22" width="3.5" style="16" customWidth="1"/>
    <col min="23" max="23" width="2.875" style="104" customWidth="1"/>
    <col min="24" max="24" width="2.875" style="16" customWidth="1"/>
    <col min="25" max="25" width="3.5" style="104" customWidth="1"/>
    <col min="26" max="26" width="5" style="16" customWidth="1"/>
    <col min="27" max="27" width="7.5" style="16" customWidth="1"/>
    <col min="28" max="28" width="16.875" style="16" customWidth="1"/>
    <col min="29" max="29" width="15" style="16" customWidth="1"/>
    <col min="30" max="30" width="18.125" style="102" customWidth="1"/>
    <col min="31" max="31" width="21.5" style="467" customWidth="1"/>
    <col min="32" max="32" width="21.5" style="106" customWidth="1"/>
    <col min="33" max="33" width="18.5" style="11" customWidth="1"/>
    <col min="34" max="34" width="22" style="11" customWidth="1"/>
    <col min="35" max="35" width="20.875" style="143" customWidth="1"/>
    <col min="36" max="36" width="21.5" style="105" customWidth="1"/>
    <col min="37" max="40" width="22.5" style="519" customWidth="1"/>
    <col min="41" max="41" width="21.5" style="519" customWidth="1"/>
    <col min="42" max="42" width="16.5" style="519" customWidth="1"/>
    <col min="43" max="43" width="36.5" style="519" customWidth="1"/>
    <col min="44" max="44" width="18.5" style="515" customWidth="1"/>
    <col min="45" max="45" width="21.5" style="519" customWidth="1"/>
    <col min="46" max="46" width="16.5" style="515" customWidth="1"/>
    <col min="47" max="47" width="14.5" style="515" customWidth="1"/>
    <col min="48" max="50" width="25.125" style="515" customWidth="1"/>
    <col min="51" max="51" width="20.125" style="515" customWidth="1"/>
    <col min="52" max="52" width="17" style="515" customWidth="1"/>
    <col min="53" max="53" width="10" style="515" customWidth="1"/>
    <col min="54" max="54" width="23.25" style="515" customWidth="1"/>
    <col min="55" max="55" width="16.5" style="515" customWidth="1"/>
    <col min="56" max="62" width="10" style="515" customWidth="1"/>
    <col min="63" max="63" width="14.5" style="515" customWidth="1"/>
    <col min="64" max="64" width="13.875" style="515" bestFit="1" customWidth="1"/>
    <col min="65" max="65" width="15.5" style="515" customWidth="1"/>
    <col min="66" max="66" width="12.875" style="515" customWidth="1"/>
    <col min="67" max="67" width="11.5" style="515" customWidth="1"/>
    <col min="68" max="70" width="6.875" style="515" customWidth="1"/>
    <col min="71" max="71" width="6.875" style="516" customWidth="1"/>
    <col min="72" max="72" width="22.125" style="517" customWidth="1"/>
    <col min="73" max="16384" width="2.5" style="517"/>
  </cols>
  <sheetData>
    <row r="1" spans="1:72" ht="29.25" customHeight="1" thickBot="1">
      <c r="A1" s="400" t="s">
        <v>276</v>
      </c>
      <c r="B1" s="401"/>
      <c r="C1" s="401"/>
      <c r="D1" s="401"/>
      <c r="E1" s="401"/>
      <c r="F1" s="401"/>
      <c r="G1" s="241"/>
      <c r="H1" s="241"/>
      <c r="I1" s="402"/>
      <c r="J1" s="241"/>
      <c r="K1" s="242"/>
      <c r="L1" s="241"/>
      <c r="M1" s="343"/>
      <c r="N1" s="403"/>
      <c r="O1" s="403"/>
      <c r="P1" s="404"/>
      <c r="Q1" s="405"/>
      <c r="R1" s="283"/>
      <c r="S1" s="406"/>
      <c r="T1" s="406"/>
      <c r="U1" s="406"/>
      <c r="V1" s="406"/>
      <c r="W1" s="406"/>
      <c r="X1" s="406"/>
      <c r="Y1" s="406"/>
      <c r="Z1" s="406"/>
      <c r="AA1" s="406"/>
      <c r="AB1" s="406"/>
      <c r="AC1" s="406"/>
      <c r="AD1" s="407"/>
      <c r="AE1" s="408"/>
      <c r="AF1" s="409"/>
      <c r="AG1" s="15"/>
      <c r="AH1" s="15"/>
      <c r="AI1" s="410" t="s">
        <v>7</v>
      </c>
      <c r="AJ1" s="410" t="str">
        <f>IF(基本情報入力シート!C11="", "",基本情報入力シート!C11)</f>
        <v/>
      </c>
      <c r="AK1" s="513"/>
      <c r="AL1" s="513"/>
      <c r="AM1" s="513"/>
      <c r="AN1" s="513"/>
      <c r="AO1" s="514"/>
      <c r="AP1" s="513"/>
      <c r="AQ1" s="513"/>
      <c r="AS1" s="514"/>
      <c r="BK1" s="516"/>
      <c r="BL1" s="517"/>
      <c r="BM1" s="517"/>
      <c r="BN1" s="517"/>
      <c r="BO1" s="517"/>
      <c r="BP1" s="517"/>
      <c r="BQ1" s="517"/>
      <c r="BR1" s="517"/>
      <c r="BS1" s="517"/>
    </row>
    <row r="2" spans="1:72" ht="21" customHeight="1" thickBot="1">
      <c r="A2" s="411"/>
      <c r="B2" s="412"/>
      <c r="C2" s="412"/>
      <c r="D2" s="412"/>
      <c r="E2" s="412"/>
      <c r="F2" s="412"/>
      <c r="G2" s="413"/>
      <c r="H2" s="413"/>
      <c r="I2" s="414"/>
      <c r="J2" s="413"/>
      <c r="K2" s="415"/>
      <c r="L2" s="413"/>
      <c r="M2" s="416"/>
      <c r="N2" s="403"/>
      <c r="O2" s="403"/>
      <c r="P2" s="404"/>
      <c r="Q2" s="405"/>
      <c r="R2" s="283"/>
      <c r="S2" s="283"/>
      <c r="T2" s="283"/>
      <c r="U2" s="283"/>
      <c r="V2" s="283"/>
      <c r="W2" s="283"/>
      <c r="X2" s="283"/>
      <c r="Y2" s="283"/>
      <c r="Z2" s="283"/>
      <c r="AA2" s="283"/>
      <c r="AB2" s="283"/>
      <c r="AC2" s="283"/>
      <c r="AD2" s="407"/>
      <c r="AE2" s="417"/>
      <c r="AF2" s="418"/>
      <c r="AG2" s="15"/>
      <c r="AH2" s="15"/>
      <c r="AI2" s="419"/>
      <c r="AJ2" s="420"/>
      <c r="AK2" s="518"/>
      <c r="AL2" s="518"/>
      <c r="AM2" s="518"/>
      <c r="AN2" s="518"/>
      <c r="AO2" s="518"/>
      <c r="AS2" s="518"/>
      <c r="BK2" s="516"/>
      <c r="BL2" s="517"/>
      <c r="BM2" s="517"/>
      <c r="BN2" s="517"/>
      <c r="BO2" s="517"/>
      <c r="BP2" s="517"/>
      <c r="BQ2" s="517"/>
      <c r="BR2" s="517"/>
      <c r="BS2" s="517"/>
    </row>
    <row r="3" spans="1:72" ht="27" customHeight="1" thickBot="1">
      <c r="A3" s="943" t="s">
        <v>53</v>
      </c>
      <c r="B3" s="943"/>
      <c r="C3" s="944"/>
      <c r="D3" s="945" t="str">
        <f>IF(基本情報入力シート!L16="","",基本情報入力シート!L16)</f>
        <v/>
      </c>
      <c r="E3" s="946"/>
      <c r="F3" s="946"/>
      <c r="G3" s="946"/>
      <c r="H3" s="946"/>
      <c r="I3" s="946"/>
      <c r="J3" s="947"/>
      <c r="K3" s="242"/>
      <c r="L3" s="421"/>
      <c r="M3" s="422"/>
      <c r="N3" s="423"/>
      <c r="O3" s="423"/>
      <c r="P3" s="404"/>
      <c r="Q3" s="405"/>
      <c r="R3" s="283"/>
      <c r="S3" s="406"/>
      <c r="T3" s="406"/>
      <c r="U3" s="406"/>
      <c r="V3" s="406"/>
      <c r="W3" s="406"/>
      <c r="X3" s="406"/>
      <c r="Y3" s="406"/>
      <c r="Z3" s="406"/>
      <c r="AA3" s="406"/>
      <c r="AB3" s="406"/>
      <c r="AC3" s="406"/>
      <c r="AD3" s="407"/>
      <c r="AE3" s="417"/>
      <c r="AF3" s="418"/>
      <c r="AG3" s="15"/>
      <c r="AH3" s="15"/>
      <c r="AI3" s="419"/>
      <c r="AJ3" s="420"/>
      <c r="AK3" s="518"/>
      <c r="AL3" s="518"/>
      <c r="AM3" s="518"/>
      <c r="AN3" s="518"/>
      <c r="AO3" s="518"/>
      <c r="AR3" s="520"/>
      <c r="AS3" s="518"/>
      <c r="AT3" s="520"/>
      <c r="AU3" s="520"/>
      <c r="BO3" s="516"/>
      <c r="BP3" s="517"/>
      <c r="BQ3" s="517"/>
      <c r="BR3" s="517"/>
      <c r="BS3" s="517"/>
    </row>
    <row r="4" spans="1:72" ht="21" customHeight="1" thickBot="1">
      <c r="A4" s="425"/>
      <c r="B4" s="426"/>
      <c r="C4" s="426"/>
      <c r="D4" s="427"/>
      <c r="E4" s="427"/>
      <c r="F4" s="427"/>
      <c r="G4" s="428"/>
      <c r="H4" s="428"/>
      <c r="I4" s="428"/>
      <c r="J4" s="428"/>
      <c r="K4" s="428"/>
      <c r="L4" s="421"/>
      <c r="M4" s="422"/>
      <c r="N4" s="423"/>
      <c r="O4" s="423"/>
      <c r="P4" s="404"/>
      <c r="Q4" s="405"/>
      <c r="R4" s="283"/>
      <c r="S4" s="406"/>
      <c r="T4" s="406"/>
      <c r="U4" s="406"/>
      <c r="V4" s="406"/>
      <c r="W4" s="406"/>
      <c r="X4" s="406"/>
      <c r="Y4" s="406"/>
      <c r="Z4" s="406"/>
      <c r="AA4" s="406"/>
      <c r="AB4" s="406"/>
      <c r="AC4" s="406"/>
      <c r="AD4" s="407"/>
      <c r="AE4" s="983" t="s">
        <v>218</v>
      </c>
      <c r="AF4" s="983"/>
      <c r="AG4" s="983"/>
      <c r="AH4" s="983"/>
      <c r="AI4" s="983"/>
      <c r="AJ4" s="983"/>
      <c r="AK4" s="518"/>
      <c r="AL4" s="518"/>
      <c r="AM4" s="518"/>
      <c r="AN4" s="518"/>
      <c r="AO4" s="518"/>
      <c r="AS4" s="518"/>
      <c r="BO4" s="516"/>
      <c r="BP4" s="517"/>
      <c r="BQ4" s="517"/>
      <c r="BR4" s="517"/>
      <c r="BS4" s="517"/>
    </row>
    <row r="5" spans="1:72" ht="51" customHeight="1" thickBot="1">
      <c r="A5" s="996" t="s">
        <v>277</v>
      </c>
      <c r="B5" s="997"/>
      <c r="C5" s="997"/>
      <c r="D5" s="997"/>
      <c r="E5" s="997"/>
      <c r="F5" s="997"/>
      <c r="G5" s="997"/>
      <c r="H5" s="997"/>
      <c r="I5" s="997"/>
      <c r="J5" s="998"/>
      <c r="K5" s="468" t="s">
        <v>278</v>
      </c>
      <c r="L5" s="988" t="s">
        <v>279</v>
      </c>
      <c r="M5" s="988"/>
      <c r="N5" s="469" t="s">
        <v>280</v>
      </c>
      <c r="O5" s="470"/>
      <c r="P5" s="430"/>
      <c r="Q5" s="404"/>
      <c r="R5" s="405"/>
      <c r="S5" s="283"/>
      <c r="T5" s="406"/>
      <c r="U5" s="406"/>
      <c r="V5" s="406"/>
      <c r="W5" s="406"/>
      <c r="X5" s="406"/>
      <c r="Y5" s="406"/>
      <c r="Z5" s="406"/>
      <c r="AA5" s="406"/>
      <c r="AB5" s="406"/>
      <c r="AC5" s="406"/>
      <c r="AD5" s="407"/>
      <c r="AE5" s="930" t="s">
        <v>220</v>
      </c>
      <c r="AF5" s="931"/>
      <c r="AG5" s="931"/>
      <c r="AH5" s="931"/>
      <c r="AI5" s="932"/>
      <c r="AJ5" s="431">
        <f>COUNTIFS(AU:AU,"対象",BM:BM,"その他",K:K,"&lt;&gt;*短期入所*")</f>
        <v>0</v>
      </c>
      <c r="AK5" s="521"/>
      <c r="AL5" s="521"/>
      <c r="AM5" s="521"/>
      <c r="AN5" s="521"/>
      <c r="AO5" s="522"/>
      <c r="AP5" s="523"/>
      <c r="AQ5" s="523"/>
      <c r="AS5" s="522"/>
      <c r="BO5" s="516"/>
      <c r="BP5" s="517"/>
      <c r="BQ5" s="517"/>
      <c r="BR5" s="517"/>
      <c r="BS5" s="517"/>
    </row>
    <row r="6" spans="1:72" ht="35.25" customHeight="1" thickBot="1">
      <c r="A6" s="990" t="s">
        <v>219</v>
      </c>
      <c r="B6" s="991"/>
      <c r="C6" s="991"/>
      <c r="D6" s="991"/>
      <c r="E6" s="991"/>
      <c r="F6" s="991"/>
      <c r="G6" s="991"/>
      <c r="H6" s="991"/>
      <c r="I6" s="991"/>
      <c r="J6" s="992"/>
      <c r="K6" s="471">
        <f>IFERROR(SUM($AB:$AB),"")</f>
        <v>0</v>
      </c>
      <c r="L6" s="989">
        <f>IFERROR(SUMIF($AN$12:$AN$111,"加算対象",$AB12:$AB111),"")</f>
        <v>0</v>
      </c>
      <c r="M6" s="989"/>
      <c r="N6" s="472">
        <f>IFERROR(SUMIF($AN$12:$AN$111,"加算対象外",$AB12:$AB111),"")</f>
        <v>0</v>
      </c>
      <c r="O6" s="429" t="s">
        <v>61</v>
      </c>
      <c r="P6" s="430"/>
      <c r="Q6" s="404"/>
      <c r="R6" s="405"/>
      <c r="S6" s="283"/>
      <c r="T6" s="406"/>
      <c r="U6" s="406"/>
      <c r="V6" s="406"/>
      <c r="W6" s="406"/>
      <c r="X6" s="406"/>
      <c r="Y6" s="406"/>
      <c r="Z6" s="406"/>
      <c r="AA6" s="406"/>
      <c r="AB6" s="406"/>
      <c r="AC6" s="406"/>
      <c r="AD6" s="407"/>
      <c r="AE6" s="930" t="s">
        <v>222</v>
      </c>
      <c r="AF6" s="931"/>
      <c r="AG6" s="931"/>
      <c r="AH6" s="931"/>
      <c r="AI6" s="932"/>
      <c r="AJ6" s="433">
        <f>SUMIFS(AG:AG, AU:AU, "対象", BM:BM, "その他", K:K, "&lt;&gt;*短期入所*")</f>
        <v>0</v>
      </c>
      <c r="AK6" s="522"/>
      <c r="AL6" s="522"/>
      <c r="AM6" s="522"/>
      <c r="AN6" s="522"/>
      <c r="AO6" s="522"/>
      <c r="AP6" s="523"/>
      <c r="AQ6" s="523"/>
      <c r="AS6" s="522"/>
      <c r="AV6" s="524"/>
      <c r="AW6" s="524"/>
      <c r="AX6" s="524"/>
      <c r="AY6" s="924"/>
      <c r="AZ6" s="924"/>
      <c r="BA6" s="924"/>
      <c r="BB6" s="924"/>
      <c r="BC6" s="924"/>
      <c r="BD6" s="924"/>
      <c r="BE6" s="924"/>
      <c r="BF6" s="924"/>
      <c r="BG6" s="924"/>
      <c r="BH6" s="924"/>
      <c r="BI6" s="924"/>
      <c r="BJ6" s="924"/>
      <c r="BK6" s="924"/>
      <c r="BL6" s="924"/>
      <c r="BM6" s="924"/>
      <c r="BN6" s="525"/>
      <c r="BO6" s="924"/>
      <c r="BP6" s="924"/>
      <c r="BQ6" s="924"/>
      <c r="BR6" s="924"/>
      <c r="BS6" s="924"/>
    </row>
    <row r="7" spans="1:72" ht="35.25" customHeight="1" thickBot="1">
      <c r="A7" s="473"/>
      <c r="B7" s="993" t="s">
        <v>221</v>
      </c>
      <c r="C7" s="994"/>
      <c r="D7" s="994"/>
      <c r="E7" s="994"/>
      <c r="F7" s="994"/>
      <c r="G7" s="994"/>
      <c r="H7" s="994"/>
      <c r="I7" s="994"/>
      <c r="J7" s="995"/>
      <c r="K7" s="471">
        <f>IFERROR(SUM($AC:$AC),"")</f>
        <v>0</v>
      </c>
      <c r="L7" s="989">
        <f>IFERROR(SUMIF($AN$12:$AN$111,"加算対象",$AC12:$AC111),"")</f>
        <v>0</v>
      </c>
      <c r="M7" s="989"/>
      <c r="N7" s="474"/>
      <c r="O7" s="429" t="s">
        <v>61</v>
      </c>
      <c r="P7" s="430"/>
      <c r="Q7" s="404"/>
      <c r="R7" s="405"/>
      <c r="S7" s="283"/>
      <c r="T7" s="406"/>
      <c r="U7" s="406"/>
      <c r="V7" s="406"/>
      <c r="W7" s="406"/>
      <c r="X7" s="406"/>
      <c r="Y7" s="406"/>
      <c r="Z7" s="406"/>
      <c r="AA7" s="406"/>
      <c r="AB7" s="406"/>
      <c r="AC7" s="406"/>
      <c r="AD7" s="407"/>
      <c r="AE7" s="930" t="s">
        <v>224</v>
      </c>
      <c r="AF7" s="931"/>
      <c r="AG7" s="931"/>
      <c r="AH7" s="931"/>
      <c r="AI7" s="932"/>
      <c r="AJ7" s="433">
        <f>COUNTIFS(AU:AU, "対象",BM:BM, "その他",K:K, "&lt;&gt;*短期入所*",AG:AG, 0,AH:AH, "令和８年度特例要件*")</f>
        <v>0</v>
      </c>
      <c r="AK7" s="522"/>
      <c r="AL7" s="522"/>
      <c r="AM7" s="522"/>
      <c r="AN7" s="522"/>
      <c r="AO7" s="522"/>
      <c r="AP7" s="523"/>
      <c r="AQ7" s="523"/>
      <c r="AS7" s="522"/>
      <c r="AV7" s="524"/>
      <c r="AW7" s="524"/>
      <c r="AX7" s="524"/>
      <c r="AY7" s="525"/>
      <c r="AZ7" s="525"/>
      <c r="BA7" s="525"/>
      <c r="BB7" s="525"/>
      <c r="BC7" s="525"/>
      <c r="BD7" s="525"/>
      <c r="BE7" s="525"/>
      <c r="BF7" s="525"/>
      <c r="BG7" s="525"/>
      <c r="BH7" s="525"/>
      <c r="BI7" s="525"/>
      <c r="BJ7" s="525"/>
      <c r="BK7" s="525"/>
      <c r="BL7" s="525"/>
      <c r="BM7" s="525"/>
      <c r="BN7" s="525"/>
      <c r="BO7" s="525"/>
      <c r="BP7" s="525"/>
      <c r="BQ7" s="525"/>
      <c r="BR7" s="525"/>
      <c r="BS7" s="525"/>
    </row>
    <row r="8" spans="1:72" ht="35.25" customHeight="1" thickBot="1">
      <c r="A8" s="15"/>
      <c r="B8" s="435"/>
      <c r="C8" s="435"/>
      <c r="D8" s="435"/>
      <c r="E8" s="435"/>
      <c r="F8" s="435"/>
      <c r="G8" s="15"/>
      <c r="H8" s="15"/>
      <c r="I8" s="436"/>
      <c r="J8" s="15"/>
      <c r="K8" s="283"/>
      <c r="L8" s="15"/>
      <c r="M8" s="437"/>
      <c r="N8" s="403"/>
      <c r="O8" s="403"/>
      <c r="P8" s="438"/>
      <c r="Q8" s="405"/>
      <c r="R8" s="283"/>
      <c r="S8" s="283"/>
      <c r="T8" s="283"/>
      <c r="U8" s="406"/>
      <c r="V8" s="283"/>
      <c r="W8" s="283"/>
      <c r="X8" s="283"/>
      <c r="Y8" s="283"/>
      <c r="Z8" s="283"/>
      <c r="AA8" s="283"/>
      <c r="AB8" s="283"/>
      <c r="AC8" s="283"/>
      <c r="AD8" s="417"/>
      <c r="AE8" s="417"/>
      <c r="AF8" s="418"/>
      <c r="AG8" s="15"/>
      <c r="AH8" s="15"/>
      <c r="AI8" s="419"/>
      <c r="AJ8" s="420"/>
      <c r="AK8" s="518"/>
      <c r="AL8" s="518"/>
      <c r="AM8" s="518"/>
      <c r="AN8" s="518"/>
      <c r="AO8" s="515"/>
      <c r="AP8" s="515"/>
      <c r="AQ8" s="515"/>
      <c r="AR8" s="921"/>
      <c r="AS8" s="921"/>
      <c r="AT8" s="921"/>
      <c r="AU8" s="921"/>
      <c r="AV8" s="921"/>
      <c r="AW8" s="921"/>
      <c r="AX8" s="921"/>
      <c r="AY8" s="921"/>
      <c r="AZ8" s="526"/>
      <c r="BA8" s="921"/>
      <c r="BB8" s="921"/>
      <c r="BC8" s="921"/>
      <c r="BD8" s="921"/>
      <c r="BE8" s="921"/>
      <c r="BF8" s="921"/>
      <c r="BG8" s="921"/>
      <c r="BH8" s="921"/>
      <c r="BI8" s="921"/>
      <c r="BJ8" s="526"/>
      <c r="BK8" s="921"/>
      <c r="BL8" s="921"/>
      <c r="BM8" s="921"/>
      <c r="BN8" s="921"/>
      <c r="BO8" s="921"/>
      <c r="BP8" s="517"/>
      <c r="BQ8" s="517"/>
      <c r="BR8" s="517"/>
      <c r="BS8" s="517"/>
    </row>
    <row r="9" spans="1:72" s="528" customFormat="1" ht="31.9" customHeight="1" thickBot="1">
      <c r="A9" s="15"/>
      <c r="B9" s="435"/>
      <c r="C9" s="435"/>
      <c r="D9" s="435"/>
      <c r="E9" s="435"/>
      <c r="F9" s="435"/>
      <c r="G9" s="15"/>
      <c r="H9" s="15"/>
      <c r="I9" s="436"/>
      <c r="J9" s="15"/>
      <c r="K9" s="283"/>
      <c r="L9" s="15"/>
      <c r="M9" s="343"/>
      <c r="N9" s="441" t="str">
        <f>IF(D3="", "", IFERROR(IF(COUNTIF(AO12:AO111,"N列に色付け")=COUNTA(N12:N111),"○","×"),""))</f>
        <v/>
      </c>
      <c r="O9" s="405"/>
      <c r="P9" s="283"/>
      <c r="Q9" s="406"/>
      <c r="R9" s="406"/>
      <c r="S9" s="406"/>
      <c r="T9" s="406"/>
      <c r="U9" s="406"/>
      <c r="V9" s="406"/>
      <c r="W9" s="406"/>
      <c r="X9" s="406"/>
      <c r="Y9" s="406"/>
      <c r="Z9" s="406"/>
      <c r="AA9" s="406"/>
      <c r="AB9" s="440"/>
      <c r="AC9" s="922" t="str">
        <f>IF(D3="", "", IFERROR(IF(COUNTIF(AP12:AP111,"未入力")=0,"○","×"),""))</f>
        <v/>
      </c>
      <c r="AD9" s="923"/>
      <c r="AE9" s="441" t="str">
        <f>IF(D3="", "", IFERROR(IF(COUNTIF(AR:AR,"未入力")=0,"○","×"),""))</f>
        <v/>
      </c>
      <c r="AF9" s="441" t="str">
        <f>IF(D3="", "", IFERROR(IF(COUNTIF(AT:AT,"未入力")=0,"○","×"),""))</f>
        <v/>
      </c>
      <c r="AG9" s="922" t="str">
        <f>IF(D3="", "", IFERROR(IF(COUNTIF(AX:AX,"未入力")=0,"○","×"),""))</f>
        <v/>
      </c>
      <c r="AH9" s="923"/>
      <c r="AI9" s="442" t="str">
        <f>IF(D3="","", IF(COUNTIF(BA:BA,"未入力")=0,"○","×"))</f>
        <v/>
      </c>
      <c r="AJ9" s="442" t="str">
        <f>IF(D3="","",IF(BJ12=0,"",IF(COUNTIF(BD12:BD111,"未入力")+COUNTIF(BH12:BH111,"未入力")=0,"○","×")))</f>
        <v/>
      </c>
      <c r="AK9" s="527"/>
      <c r="AL9" s="527"/>
      <c r="AM9" s="518"/>
      <c r="AN9" s="518"/>
      <c r="BB9" s="529"/>
      <c r="BC9" s="529"/>
      <c r="BD9" s="529"/>
      <c r="BE9" s="529"/>
      <c r="BF9" s="529"/>
      <c r="BG9" s="529"/>
      <c r="BH9" s="529"/>
      <c r="BI9" s="529"/>
      <c r="BJ9" s="529"/>
      <c r="BK9" s="529"/>
      <c r="BL9" s="529"/>
      <c r="BM9" s="530"/>
    </row>
    <row r="10" spans="1:72" ht="53.25" customHeight="1" thickBot="1">
      <c r="A10" s="969"/>
      <c r="B10" s="971" t="s">
        <v>225</v>
      </c>
      <c r="C10" s="972"/>
      <c r="D10" s="972"/>
      <c r="E10" s="972"/>
      <c r="F10" s="973"/>
      <c r="G10" s="977" t="s">
        <v>39</v>
      </c>
      <c r="H10" s="936" t="s">
        <v>40</v>
      </c>
      <c r="I10" s="936"/>
      <c r="J10" s="937" t="s">
        <v>226</v>
      </c>
      <c r="K10" s="939" t="s">
        <v>42</v>
      </c>
      <c r="L10" s="962" t="s">
        <v>227</v>
      </c>
      <c r="M10" s="964" t="s">
        <v>228</v>
      </c>
      <c r="N10" s="984" t="s">
        <v>281</v>
      </c>
      <c r="O10" s="986" t="s">
        <v>230</v>
      </c>
      <c r="P10" s="952" t="s">
        <v>282</v>
      </c>
      <c r="Q10" s="953"/>
      <c r="R10" s="953"/>
      <c r="S10" s="953"/>
      <c r="T10" s="953"/>
      <c r="U10" s="953"/>
      <c r="V10" s="953"/>
      <c r="W10" s="953"/>
      <c r="X10" s="953"/>
      <c r="Y10" s="953"/>
      <c r="Z10" s="953"/>
      <c r="AA10" s="954"/>
      <c r="AB10" s="958" t="s">
        <v>232</v>
      </c>
      <c r="AC10" s="960" t="s">
        <v>233</v>
      </c>
      <c r="AD10" s="961"/>
      <c r="AE10" s="443" t="s">
        <v>234</v>
      </c>
      <c r="AF10" s="443" t="s">
        <v>235</v>
      </c>
      <c r="AG10" s="979" t="s">
        <v>236</v>
      </c>
      <c r="AH10" s="961"/>
      <c r="AI10" s="444" t="s">
        <v>237</v>
      </c>
      <c r="AJ10" s="445" t="s">
        <v>238</v>
      </c>
      <c r="AK10" s="531"/>
      <c r="AL10" s="531"/>
      <c r="AM10" s="532"/>
      <c r="AN10" s="533" t="s">
        <v>239</v>
      </c>
      <c r="AO10" s="534"/>
      <c r="AR10" s="535"/>
      <c r="AS10" s="535"/>
      <c r="AT10" s="535"/>
      <c r="AU10" s="535"/>
      <c r="AV10" s="535"/>
      <c r="AW10" s="535"/>
      <c r="AX10" s="535"/>
      <c r="AY10" s="535"/>
      <c r="AZ10" s="535"/>
      <c r="BA10" s="535"/>
      <c r="BB10" s="535"/>
      <c r="BC10" s="535"/>
      <c r="BD10" s="535"/>
      <c r="BE10" s="535"/>
      <c r="BF10" s="535"/>
      <c r="BG10" s="535"/>
      <c r="BH10" s="535"/>
      <c r="BI10" s="535"/>
      <c r="BJ10" s="535"/>
      <c r="BK10" s="535"/>
      <c r="BL10" s="535"/>
      <c r="BQ10" s="516"/>
      <c r="BR10" s="536"/>
      <c r="BS10" s="517"/>
    </row>
    <row r="11" spans="1:72" ht="159.75" customHeight="1" thickBot="1">
      <c r="A11" s="970"/>
      <c r="B11" s="974"/>
      <c r="C11" s="975"/>
      <c r="D11" s="975"/>
      <c r="E11" s="975"/>
      <c r="F11" s="976"/>
      <c r="G11" s="978"/>
      <c r="H11" s="446" t="s">
        <v>240</v>
      </c>
      <c r="I11" s="446" t="s">
        <v>241</v>
      </c>
      <c r="J11" s="938"/>
      <c r="K11" s="940"/>
      <c r="L11" s="963"/>
      <c r="M11" s="965"/>
      <c r="N11" s="985"/>
      <c r="O11" s="987"/>
      <c r="P11" s="955"/>
      <c r="Q11" s="956"/>
      <c r="R11" s="956"/>
      <c r="S11" s="956"/>
      <c r="T11" s="956"/>
      <c r="U11" s="956"/>
      <c r="V11" s="956"/>
      <c r="W11" s="956"/>
      <c r="X11" s="956"/>
      <c r="Y11" s="956"/>
      <c r="Z11" s="956"/>
      <c r="AA11" s="957"/>
      <c r="AB11" s="959"/>
      <c r="AC11" s="447" t="s">
        <v>242</v>
      </c>
      <c r="AD11" s="448" t="s">
        <v>243</v>
      </c>
      <c r="AE11" s="449" t="s">
        <v>244</v>
      </c>
      <c r="AF11" s="450" t="s">
        <v>245</v>
      </c>
      <c r="AG11" s="450" t="s">
        <v>246</v>
      </c>
      <c r="AH11" s="475" t="s">
        <v>247</v>
      </c>
      <c r="AI11" s="452" t="s">
        <v>248</v>
      </c>
      <c r="AJ11" s="453" t="s">
        <v>249</v>
      </c>
      <c r="AK11" s="941" t="s">
        <v>250</v>
      </c>
      <c r="AL11" s="942"/>
      <c r="AM11" s="537"/>
      <c r="AN11" s="538" t="s">
        <v>283</v>
      </c>
      <c r="AO11" s="538" t="s">
        <v>252</v>
      </c>
      <c r="AP11" s="539" t="s">
        <v>253</v>
      </c>
      <c r="AQ11" s="538" t="s">
        <v>284</v>
      </c>
      <c r="AR11" s="538" t="s">
        <v>254</v>
      </c>
      <c r="AS11" s="538" t="s">
        <v>255</v>
      </c>
      <c r="AT11" s="538" t="s">
        <v>256</v>
      </c>
      <c r="AU11" s="540" t="s">
        <v>257</v>
      </c>
      <c r="AV11" s="540" t="s">
        <v>258</v>
      </c>
      <c r="AW11" s="538" t="s">
        <v>259</v>
      </c>
      <c r="AX11" s="540" t="s">
        <v>285</v>
      </c>
      <c r="AY11" s="540" t="s">
        <v>261</v>
      </c>
      <c r="AZ11" s="538" t="s">
        <v>262</v>
      </c>
      <c r="BA11" s="540" t="s">
        <v>263</v>
      </c>
      <c r="BB11" s="540" t="s">
        <v>264</v>
      </c>
      <c r="BC11" s="538" t="s">
        <v>265</v>
      </c>
      <c r="BD11" s="540" t="s">
        <v>266</v>
      </c>
      <c r="BE11" s="540" t="s">
        <v>286</v>
      </c>
      <c r="BF11" s="540" t="s">
        <v>287</v>
      </c>
      <c r="BG11" s="540" t="s">
        <v>267</v>
      </c>
      <c r="BH11" s="540" t="s">
        <v>288</v>
      </c>
      <c r="BI11" s="637" t="s">
        <v>268</v>
      </c>
      <c r="BJ11" s="639" t="s">
        <v>289</v>
      </c>
      <c r="BK11" s="517"/>
      <c r="BL11" s="642" t="s">
        <v>270</v>
      </c>
      <c r="BM11" s="634" t="s">
        <v>2488</v>
      </c>
      <c r="BN11" s="517"/>
      <c r="BO11" s="517"/>
      <c r="BP11" s="517"/>
      <c r="BQ11" s="517"/>
      <c r="BR11" s="517"/>
      <c r="BS11" s="517"/>
    </row>
    <row r="12" spans="1:72" ht="109.9" customHeight="1" thickBot="1">
      <c r="A12" s="454">
        <v>1</v>
      </c>
      <c r="B12" s="933" t="str">
        <f>IF(基本情報入力シート!B40="","",基本情報入力シート!B40)</f>
        <v/>
      </c>
      <c r="C12" s="934"/>
      <c r="D12" s="934"/>
      <c r="E12" s="934"/>
      <c r="F12" s="935"/>
      <c r="G12" s="455" t="str">
        <f>IF(基本情報入力シート!L40="", "", 基本情報入力シート!L40)</f>
        <v/>
      </c>
      <c r="H12" s="455" t="str">
        <f>IF(基本情報入力シート!Q40="", "", 基本情報入力シート!Q40)</f>
        <v/>
      </c>
      <c r="I12" s="455" t="str">
        <f>IF(基本情報入力シート!V40="", "", 基本情報入力シート!V40)</f>
        <v/>
      </c>
      <c r="J12" s="455" t="str">
        <f>IF(基本情報入力シート!W40="", "", 基本情報入力シート!W40)</f>
        <v/>
      </c>
      <c r="K12" s="455" t="str">
        <f>IF(基本情報入力シート!Z40="", "", 基本情報入力シート!Z40)</f>
        <v/>
      </c>
      <c r="L12" s="101" t="str">
        <f>IF(基本情報入力シート!AF40=0, "",基本情報入力シート!AF40)</f>
        <v/>
      </c>
      <c r="M12" s="142" t="str">
        <f>IF(AND(基本情報入力シート!AG40="",基本情報入力シート!AG40=""), "", 基本情報入力シート!AG40)</f>
        <v/>
      </c>
      <c r="N12" s="136"/>
      <c r="O12" s="155" t="str">
        <f>IFERROR(VLOOKUP(K12,【参考】数式用!$A$2:$M$57,MATCH(N12,【参考】数式用!$G$3:$M$3,0)+6,0),"")</f>
        <v/>
      </c>
      <c r="P12" s="456" t="s">
        <v>180</v>
      </c>
      <c r="Q12" s="141"/>
      <c r="R12" s="457" t="s">
        <v>271</v>
      </c>
      <c r="S12" s="141"/>
      <c r="T12" s="457" t="s">
        <v>272</v>
      </c>
      <c r="U12" s="141"/>
      <c r="V12" s="457" t="s">
        <v>271</v>
      </c>
      <c r="W12" s="141"/>
      <c r="X12" s="457" t="s">
        <v>273</v>
      </c>
      <c r="Y12" s="457" t="s">
        <v>274</v>
      </c>
      <c r="Z12" s="457" t="str">
        <f>IF(Q12&gt;=1,(U12*12+W12)-(Q12*12+S12)+1,"")</f>
        <v/>
      </c>
      <c r="AA12" s="458" t="s">
        <v>275</v>
      </c>
      <c r="AB12" s="459" t="str">
        <f>IFERROR(ROUNDDOWN(ROUND(L12*O12,0)*M12,0)*Z12,"")</f>
        <v/>
      </c>
      <c r="AC12" s="460" t="str">
        <f>IFERROR(ROUNDDOWN(ROUNDDOWN(ROUND(L12*VLOOKUP(K12,【参考】数式用!$A$2:$M$57,MATCH("処遇改善加算Ⅳ",【参考】数式用!$G$3:$M$3,0)+6,0),0)*M12,0)*Z12*0.5,0), "")</f>
        <v/>
      </c>
      <c r="AD12" s="156"/>
      <c r="AE12" s="157"/>
      <c r="AF12" s="157"/>
      <c r="AG12" s="158"/>
      <c r="AH12" s="159"/>
      <c r="AI12" s="160"/>
      <c r="AJ12" s="161"/>
      <c r="AK12" s="542" t="str">
        <f>IF(AND(N12&lt;&gt;"", OR(U12&lt;&gt;9,W12&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IF(AND(AN12="加算対象外",N12&lt;&gt;"",AE12="―",AJ12="―"),"このサービスについては、キャリアパス要件Ⅰ・Ⅱか令和８年度特例要件のどちらかの要件を満たしている必要があります",""))</f>
        <v/>
      </c>
      <c r="AL12" s="543" t="str">
        <f>IF(N12="","",IF(OR(AND(COUNTIF(AP12,"未入力")&gt;0,AD12=""),AND(COUNTBLANK(AP12)&gt;0,AE12=""),AND(COUNTIF(AN12:BD12,"AF列に色付け")&gt;0,AF12=""),AND(COUNTIF(AN12:BD12,"AG列に色付け")&gt;0,OR(AG12="",AG12=0)),AND(COUNTIF(AN12:BD12,"AH列に色付け")&gt;0,AH12=""),AND(COUNTIF(AN12:BD12,"AI列に色付け")&gt;0,AI12=""),AND(COUNTIF(AN12:BD12,"AJ列に色付け")&gt;0,AJ12="",NOT(OR(BE12="AJ列色消し",BF12="AJ列色消し")))),"！記入が必要な欄（オレンジ色のセル）に空欄があります。空欄を埋めてください。",""))</f>
        <v/>
      </c>
      <c r="AM12" s="544"/>
      <c r="AN12" s="545" t="str">
        <f>IFERROR(VLOOKUP(K12,【参考】数式用!$A$2:$N$57,14,FALSE),"")</f>
        <v/>
      </c>
      <c r="AO12" s="545" t="str">
        <f>IF(AND(K12&lt;&gt;""),"N列に色付け","")</f>
        <v/>
      </c>
      <c r="AP12" s="546" t="str">
        <f>IF(AND(AC12&lt;&gt;0,AC12&lt;&gt;"",AN12="加算対象"),IF(AD12="○","入力済","未入力"),"")</f>
        <v/>
      </c>
      <c r="AQ12" s="546" t="str">
        <f>"キャリアパス要件Ⅰ・Ⅱ_"&amp;AN12</f>
        <v>キャリアパス要件Ⅰ・Ⅱ_</v>
      </c>
      <c r="AR12" s="547" t="str">
        <f>IF(AND(N12&lt;&gt;"", AE12=""), "未入力", "入力済")</f>
        <v>入力済</v>
      </c>
      <c r="AS12" s="545" t="str">
        <f>IF(AND(N12&lt;&gt;"", N12&lt;&gt;"処遇改善加算Ⅳ",AN12="加算対象"),"AF列に色付け","")</f>
        <v/>
      </c>
      <c r="AT12" s="547" t="str">
        <f>IF(AND(N12&lt;&gt;"", N12&lt;&gt;"処遇改善加算Ⅳ",N12&lt;&gt;"処遇改善加算", AF12=""), "未入力", "入力済")</f>
        <v>入力済</v>
      </c>
      <c r="AU12" s="547" t="str">
        <f>IF(OR(ISNUMBER(SEARCH("処遇改善加算Ⅰ",N12)),ISNUMBER(SEARCH("処遇改善加算Ⅱ",N12))),"対象","")</f>
        <v/>
      </c>
      <c r="AV12" s="547" t="str">
        <f>IF(AND(AN12="加算対象",N12&lt;&gt;"処遇改善加算Ⅲ",N12&lt;&gt;"処遇改善加算Ⅳ", N12&lt;&gt;"", AU12&lt;&gt;"対象外"), 1,"")</f>
        <v/>
      </c>
      <c r="AW12" s="545" t="str">
        <f>IF(AND(AV12=1, OR(AG12=0,AG12=""),AN12="加算対象"),"AH列に色付け","")</f>
        <v/>
      </c>
      <c r="AX12" s="545" t="str">
        <f>IF(AND($AV12=1,$AW12="AH列に色付け",OR($AG12="",$AH12="")),"未入力",IF(AND($AV12=1,$AW12="",$AG12=""),"未入力","入力済"))</f>
        <v>入力済</v>
      </c>
      <c r="AY12" s="547" t="str">
        <f>IFERROR(VLOOKUP(K12,【参考】数式用!$AR$3:$AS$49, 2, FALSE), "")</f>
        <v/>
      </c>
      <c r="AZ12" s="545" t="str">
        <f>IF(AND(AN12="加算対象",OR(N12="処遇改善加算Ⅰイ",N12="処遇改善加算Ⅰロ")),"AI列に色付け","")</f>
        <v/>
      </c>
      <c r="BA12" s="548" t="str">
        <f>IF(AND(OR(N12="処遇改善加算Ⅰイ",N12="処遇改善加算Ⅰロ"), AI12=""), "未入力","入力済")</f>
        <v>入力済</v>
      </c>
      <c r="BB12" s="547" t="str">
        <f>IFERROR(VLOOKUP(K12,【参考】数式用!$AX$3:$AY$56, 2, FALSE), "")</f>
        <v/>
      </c>
      <c r="BC12" s="545" t="str">
        <f>IF(OR(COUNTIF(AE12:AH12,"*令和８年度特例要件を*")&gt;0,ISNUMBER(SEARCH("処遇改善加算Ⅰロ",N12)),ISNUMBER(SEARCH("処遇改善加算Ⅱロ",N12)),AN12="加算対象外"),"AJ列に色付け","")</f>
        <v/>
      </c>
      <c r="BD12" s="548" t="str">
        <f>IF(AND(COUNTIF(AE12:AH12,"*令和８年度特例要件を*")&gt;0,AJ12=""), "未入力","入力済")</f>
        <v>入力済</v>
      </c>
      <c r="BE12" s="548" t="str">
        <f>IF(AH12="*その他*","AJ列色消し",IF(OR(ISNUMBER(SEARCH("処遇改善加算Ⅰロ",N12)),ISNUMBER(SEARCH("処遇改善加算Ⅱロ",N12))),"",IF(AND(BC12="AJ列に色付け",AE12="○",AF12="○",AG12&gt;=1),"AJ列色消し","")))</f>
        <v/>
      </c>
      <c r="BF12" s="548" t="str">
        <f>IF(AND(N12="処遇改善加算",AE12="○"),"AJ列色消し","")</f>
        <v/>
      </c>
      <c r="BG12" s="548" t="str">
        <f>IF(OR(TRIM(BC12)="",BE12="AJ列色消し",BF12="AJ列色消し"),"","入力必要")</f>
        <v/>
      </c>
      <c r="BH12" s="548" t="str">
        <f>IF(AND(BE12="",BG12="入力必要"),IF(AJ12="","未入力","入力済"),"")</f>
        <v/>
      </c>
      <c r="BI12" s="638" t="str">
        <f>G12</f>
        <v/>
      </c>
      <c r="BJ12" s="640">
        <f>IF(COUNTIF(BG:BG,"*入力必要*"),1,0)</f>
        <v>0</v>
      </c>
      <c r="BK12" s="535" t="str">
        <f>IF(D3="", "", IF(SUM(AJ6:AJ7)&gt;=AJ5,"○","×"))</f>
        <v/>
      </c>
      <c r="BL12" s="641">
        <f>IF(COUNTIF(AH$12:AH$1048576,"*その他*"),1,0)</f>
        <v>0</v>
      </c>
      <c r="BM12" s="634" t="e">
        <f>VLOOKUP(K12,【参考】数式用!$A$2:$O$57,15,FALSE)</f>
        <v>#N/A</v>
      </c>
      <c r="BN12" s="517"/>
      <c r="BO12" s="517"/>
      <c r="BP12" s="517"/>
      <c r="BQ12" s="549"/>
      <c r="BR12" s="517"/>
      <c r="BS12" s="517"/>
    </row>
    <row r="13" spans="1:72" s="550" customFormat="1" ht="109.9" customHeight="1" thickBot="1">
      <c r="A13" s="454">
        <v>2</v>
      </c>
      <c r="B13" s="933" t="str">
        <f>IF(基本情報入力シート!B41="","",基本情報入力シート!B41)</f>
        <v/>
      </c>
      <c r="C13" s="934"/>
      <c r="D13" s="934"/>
      <c r="E13" s="934"/>
      <c r="F13" s="935"/>
      <c r="G13" s="455" t="str">
        <f>IF(基本情報入力シート!L41="", "", 基本情報入力シート!L41)</f>
        <v/>
      </c>
      <c r="H13" s="455" t="str">
        <f>IF(基本情報入力シート!Q41="", "", 基本情報入力シート!Q41)</f>
        <v/>
      </c>
      <c r="I13" s="455" t="str">
        <f>IF(基本情報入力シート!V41="", "", 基本情報入力シート!V41)</f>
        <v/>
      </c>
      <c r="J13" s="455" t="str">
        <f>IF(基本情報入力シート!W41="", "", 基本情報入力シート!W41)</f>
        <v/>
      </c>
      <c r="K13" s="455" t="str">
        <f>IF(基本情報入力シート!Z41="", "", 基本情報入力シート!Z41)</f>
        <v/>
      </c>
      <c r="L13" s="101" t="str">
        <f>IF(基本情報入力シート!AF41=0, "",基本情報入力シート!AF41)</f>
        <v/>
      </c>
      <c r="M13" s="142" t="str">
        <f>IF(AND(基本情報入力シート!AG41="",基本情報入力シート!AG41=""), "", 基本情報入力シート!AG41)</f>
        <v/>
      </c>
      <c r="N13" s="136"/>
      <c r="O13" s="155" t="str">
        <f>IFERROR(VLOOKUP(K13,【参考】数式用!$A$2:$M$57,MATCH(N13,【参考】数式用!$G$3:$M$3,0)+6,0),"")</f>
        <v/>
      </c>
      <c r="P13" s="456" t="s">
        <v>180</v>
      </c>
      <c r="Q13" s="141"/>
      <c r="R13" s="457" t="s">
        <v>271</v>
      </c>
      <c r="S13" s="141"/>
      <c r="T13" s="457" t="s">
        <v>272</v>
      </c>
      <c r="U13" s="141"/>
      <c r="V13" s="457" t="s">
        <v>271</v>
      </c>
      <c r="W13" s="141"/>
      <c r="X13" s="457" t="s">
        <v>273</v>
      </c>
      <c r="Y13" s="457" t="s">
        <v>274</v>
      </c>
      <c r="Z13" s="457" t="str">
        <f t="shared" ref="Z13:Z76" si="0">IF(Q13&gt;=1,(U13*12+W13)-(Q13*12+S13)+1,"")</f>
        <v/>
      </c>
      <c r="AA13" s="458" t="s">
        <v>275</v>
      </c>
      <c r="AB13" s="459" t="str">
        <f t="shared" ref="AB13:AB76" si="1">IFERROR(ROUNDDOWN(ROUND(L13*O13,0)*M13,0)*Z13,"")</f>
        <v/>
      </c>
      <c r="AC13" s="460" t="str">
        <f>IFERROR(ROUNDDOWN(ROUNDDOWN(ROUND(L13*VLOOKUP(K13,【参考】数式用!$A$2:$M$57,MATCH("処遇改善加算Ⅳ",【参考】数式用!$G$3:$M$3,0)+6,0),0)*M13,0)*Z13*0.5,0), "")</f>
        <v/>
      </c>
      <c r="AD13" s="156"/>
      <c r="AE13" s="157"/>
      <c r="AF13" s="157"/>
      <c r="AG13" s="158"/>
      <c r="AH13" s="159"/>
      <c r="AI13" s="160"/>
      <c r="AJ13" s="161"/>
      <c r="AK13" s="542" t="str">
        <f>IF(AND(N13&lt;&gt;"", OR(U13&lt;&gt;9,W13&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IF(AND(AN13="加算対象外",N13&lt;&gt;"",AE13="―",AJ13="―"),"このサービスについては、キャリアパス要件Ⅰ・Ⅱか令和８年度特例要件のどちらかの要件を満たしている必要があります",""))</f>
        <v/>
      </c>
      <c r="AL13" s="543" t="str">
        <f t="shared" ref="AL13:AL76" si="2">IF(N13="","",IF(OR(AND(COUNTIF(AP13,"未入力")&gt;0,AD13=""),AND(COUNTBLANK(AP13)&gt;0,AE13=""),AND(COUNTIF(AN13:BD13,"AF列に色付け")&gt;0,AF13=""),AND(COUNTIF(AN13:BD13,"AG列に色付け")&gt;0,OR(AG13="",AG13=0)),AND(COUNTIF(AN13:BD13,"AH列に色付け")&gt;0,AH13=""),AND(COUNTIF(AN13:BD13,"AI列に色付け")&gt;0,AI13=""),AND(COUNTIF(AN13:BD13,"AJ列に色付け")&gt;0,AJ13="",NOT(OR(BE13="AJ列色消し",BF13="AJ列色消し")))),"！記入が必要な欄（オレンジ色のセル）に空欄があります。空欄を埋めてください。",""))</f>
        <v/>
      </c>
      <c r="AM13" s="544"/>
      <c r="AN13" s="545" t="str">
        <f>IFERROR(VLOOKUP(K13,【参考】数式用!$A$2:$N$57,14,FALSE),"")</f>
        <v/>
      </c>
      <c r="AO13" s="545" t="str">
        <f t="shared" ref="AO13:AO77" si="3">IF(AND(K13&lt;&gt;""),"N列に色付け","")</f>
        <v/>
      </c>
      <c r="AP13" s="546" t="str">
        <f>IF(AND(AC13&lt;&gt;0,AC13&lt;&gt;"",AN13="加算対象"),IF(AD13="○","入力済","未入力"),"")</f>
        <v/>
      </c>
      <c r="AQ13" s="546" t="str">
        <f>"キャリアパス要件Ⅰ・Ⅱ_"&amp;AN13</f>
        <v>キャリアパス要件Ⅰ・Ⅱ_</v>
      </c>
      <c r="AR13" s="547" t="str">
        <f>IF(AND(N13&lt;&gt;"", AE13=""), "未入力", "入力済")</f>
        <v>入力済</v>
      </c>
      <c r="AS13" s="545" t="str">
        <f t="shared" ref="AS13:AS77" si="4">IF(AND(N13&lt;&gt;"", N13&lt;&gt;"処遇改善加算Ⅳ",AN13="加算対象"),"AF列に色付け","")</f>
        <v/>
      </c>
      <c r="AT13" s="547" t="str">
        <f t="shared" ref="AT13:AT77" si="5">IF(AND(N13&lt;&gt;"", N13&lt;&gt;"処遇改善加算Ⅳ",N13&lt;&gt;"処遇改善加算", AF13=""), "未入力", "入力済")</f>
        <v>入力済</v>
      </c>
      <c r="AU13" s="547" t="str">
        <f t="shared" ref="AU13:AU77" si="6">IF(OR(ISNUMBER(SEARCH("処遇改善加算Ⅰ",N13)),ISNUMBER(SEARCH("処遇改善加算Ⅱ",N13))),"対象","")</f>
        <v/>
      </c>
      <c r="AV13" s="547" t="str">
        <f t="shared" ref="AV13:AV77" si="7">IF(AND(AN13="加算対象",N13&lt;&gt;"処遇改善加算Ⅲ",N13&lt;&gt;"処遇改善加算Ⅳ", N13&lt;&gt;"", AU13&lt;&gt;"対象外"), 1,"")</f>
        <v/>
      </c>
      <c r="AW13" s="545" t="str">
        <f t="shared" ref="AW13:AW77" si="8">IF(AND(AV13=1, OR(AG13=0,AG13=""),AN13="加算対象"),"AH列に色付け","")</f>
        <v/>
      </c>
      <c r="AX13" s="545" t="str">
        <f t="shared" ref="AX13:AX76" si="9">IF(AND($AV13=1,$AW13="AH列に色付け",OR($AG13="",$AH13="")),"未入力",IF(AND($AV13=1,$AW13="",$AG13=""),"未入力","入力済"))</f>
        <v>入力済</v>
      </c>
      <c r="AY13" s="547" t="str">
        <f>IFERROR(VLOOKUP(K13,【参考】数式用!$AR$3:$AS$49, 2, FALSE), "")</f>
        <v/>
      </c>
      <c r="AZ13" s="545" t="str">
        <f t="shared" ref="AZ13:AZ77" si="10">IF(AND(AN13="加算対象",OR(N13="処遇改善加算Ⅰイ",N13="処遇改善加算Ⅰロ")),"AI列に色付け","")</f>
        <v/>
      </c>
      <c r="BA13" s="548" t="str">
        <f>IF(AND(OR(N13="処遇改善加算Ⅰイ",N13="処遇改善加算Ⅰロ"), AI13=""), "未入力","入力済")</f>
        <v>入力済</v>
      </c>
      <c r="BB13" s="547" t="str">
        <f>IFERROR(VLOOKUP(K13,【参考】数式用!$AX$3:$AY$56, 2, FALSE), "")</f>
        <v/>
      </c>
      <c r="BC13" s="545" t="str">
        <f t="shared" ref="BC13:BC76" si="11">IF(OR(COUNTIF(AE13:AH13,"*令和８年度特例要件を*")&gt;0,ISNUMBER(SEARCH("処遇改善加算Ⅰロ",N13)),ISNUMBER(SEARCH("処遇改善加算Ⅱロ",N13)),AN13="加算対象外"),"AJ列に色付け","")</f>
        <v/>
      </c>
      <c r="BD13" s="548" t="str">
        <f>IF(AND(COUNTIF(AE13:AH13,"*令和８年度特例要件を*")&gt;0,AJ13=""), "未入力","入力済")</f>
        <v>入力済</v>
      </c>
      <c r="BE13" s="548" t="str">
        <f t="shared" ref="BE13:BE76" si="12">IF(AH13="*その他*","AJ列色消し",IF(OR(ISNUMBER(SEARCH("処遇改善加算Ⅰロ",N13)),ISNUMBER(SEARCH("処遇改善加算Ⅱロ",N13))),"",IF(AND(BC13="AJ列に色付け",AE13="○",AF13="○",AG13&gt;=1),"AJ列色消し","")))</f>
        <v/>
      </c>
      <c r="BF13" s="548" t="str">
        <f t="shared" ref="BF13:BF76" si="13">IF(AND(N13="処遇改善加算",AE13="○"),"AJ列色消し","")</f>
        <v/>
      </c>
      <c r="BG13" s="548" t="str">
        <f t="shared" ref="BG13:BG76" si="14">IF(OR(TRIM(BC13)="",BE13="AJ列色消し",BF13="AJ列色消し"),"","入力必要")</f>
        <v/>
      </c>
      <c r="BH13" s="548" t="str">
        <f t="shared" ref="BH13:BH76" si="15">IF(AND(BE13="",BG13="入力必要"),IF(AJ13="","未入力","入力済"),"")</f>
        <v/>
      </c>
      <c r="BI13" s="548" t="str">
        <f t="shared" ref="BI13:BI77" si="16">G13</f>
        <v/>
      </c>
      <c r="BJ13" s="515"/>
      <c r="BK13" s="515"/>
      <c r="BL13" s="515"/>
      <c r="BM13" s="634" t="e">
        <f>VLOOKUP(K13,【参考】数式用!$A$2:$O$57,15,FALSE)</f>
        <v>#N/A</v>
      </c>
      <c r="BN13" s="515"/>
      <c r="BO13" s="515"/>
      <c r="BP13" s="515"/>
      <c r="BQ13" s="515"/>
      <c r="BR13" s="515"/>
      <c r="BS13" s="516"/>
      <c r="BT13" s="517"/>
    </row>
    <row r="14" spans="1:72" s="550" customFormat="1" ht="109.9" customHeight="1" thickBot="1">
      <c r="A14" s="454">
        <v>3</v>
      </c>
      <c r="B14" s="933" t="str">
        <f>IF(基本情報入力シート!B42="","",基本情報入力シート!B42)</f>
        <v/>
      </c>
      <c r="C14" s="934"/>
      <c r="D14" s="934"/>
      <c r="E14" s="934"/>
      <c r="F14" s="935"/>
      <c r="G14" s="455" t="str">
        <f>IF(基本情報入力シート!L42="", "", 基本情報入力シート!L42)</f>
        <v/>
      </c>
      <c r="H14" s="455" t="str">
        <f>IF(基本情報入力シート!Q42="", "", 基本情報入力シート!Q42)</f>
        <v/>
      </c>
      <c r="I14" s="455" t="str">
        <f>IF(基本情報入力シート!V42="", "", 基本情報入力シート!V42)</f>
        <v/>
      </c>
      <c r="J14" s="455" t="str">
        <f>IF(基本情報入力シート!W42="", "", 基本情報入力シート!W42)</f>
        <v/>
      </c>
      <c r="K14" s="455" t="str">
        <f>IF(基本情報入力シート!Z42="", "", 基本情報入力シート!Z42)</f>
        <v/>
      </c>
      <c r="L14" s="101" t="str">
        <f>IF(基本情報入力シート!AF42=0, "",基本情報入力シート!AF42)</f>
        <v/>
      </c>
      <c r="M14" s="142" t="str">
        <f>IF(AND(基本情報入力シート!AG42="",基本情報入力シート!AG42=""), "", 基本情報入力シート!AG42)</f>
        <v/>
      </c>
      <c r="N14" s="136"/>
      <c r="O14" s="155" t="str">
        <f>IFERROR(VLOOKUP(K14,【参考】数式用!$A$2:$M$57,MATCH(N14,【参考】数式用!$G$3:$M$3,0)+6,0),"")</f>
        <v/>
      </c>
      <c r="P14" s="456" t="s">
        <v>180</v>
      </c>
      <c r="Q14" s="141"/>
      <c r="R14" s="457" t="s">
        <v>271</v>
      </c>
      <c r="S14" s="141"/>
      <c r="T14" s="457" t="s">
        <v>272</v>
      </c>
      <c r="U14" s="141"/>
      <c r="V14" s="457" t="s">
        <v>271</v>
      </c>
      <c r="W14" s="141"/>
      <c r="X14" s="457" t="s">
        <v>273</v>
      </c>
      <c r="Y14" s="457" t="s">
        <v>274</v>
      </c>
      <c r="Z14" s="457" t="str">
        <f t="shared" si="0"/>
        <v/>
      </c>
      <c r="AA14" s="458" t="s">
        <v>275</v>
      </c>
      <c r="AB14" s="459" t="str">
        <f t="shared" si="1"/>
        <v/>
      </c>
      <c r="AC14" s="460" t="str">
        <f>IFERROR(ROUNDDOWN(ROUNDDOWN(ROUND(L14*VLOOKUP(K14,【参考】数式用!$A$2:$M$57,MATCH("処遇改善加算Ⅳ",【参考】数式用!$G$3:$M$3,0)+6,0),0)*M14,0)*Z14*0.5,0), "")</f>
        <v/>
      </c>
      <c r="AD14" s="156"/>
      <c r="AE14" s="157"/>
      <c r="AF14" s="157"/>
      <c r="AG14" s="158"/>
      <c r="AH14" s="159"/>
      <c r="AI14" s="160"/>
      <c r="AJ14" s="161"/>
      <c r="AK14" s="542" t="str">
        <f t="shared" ref="AK14:AK77" si="17">IF(AND(N14&lt;&gt;"", OR(U14&lt;&gt;9,W14&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IF(AND(AN14="加算対象外",N14&lt;&gt;"",AE14="―",AJ14="―"),"このサービスについては、キャリアパス要件Ⅰ・Ⅱか令和８年度特例要件のどちらかの要件を満たしている必要があります",""))</f>
        <v/>
      </c>
      <c r="AL14" s="543" t="str">
        <f t="shared" si="2"/>
        <v/>
      </c>
      <c r="AM14" s="544"/>
      <c r="AN14" s="545" t="str">
        <f>IFERROR(VLOOKUP(K14,【参考】数式用!$A$2:$N$57,14,FALSE),"")</f>
        <v/>
      </c>
      <c r="AO14" s="545" t="str">
        <f t="shared" si="3"/>
        <v/>
      </c>
      <c r="AP14" s="546" t="str">
        <f t="shared" ref="AP14:AP77" si="18">IF(AND(AC14&lt;&gt;0,AC14&lt;&gt;"",AN14="加算対象"),IF(AD14="○","入力済","未入力"),"")</f>
        <v/>
      </c>
      <c r="AQ14" s="546" t="str">
        <f t="shared" ref="AQ14:AQ77" si="19">"キャリアパス要件Ⅰ・Ⅱ_"&amp;AN14</f>
        <v>キャリアパス要件Ⅰ・Ⅱ_</v>
      </c>
      <c r="AR14" s="547" t="str">
        <f t="shared" ref="AR14:AR77" si="20">IF(AND(N14&lt;&gt;"", AE14=""), "未入力", "入力済")</f>
        <v>入力済</v>
      </c>
      <c r="AS14" s="545" t="str">
        <f t="shared" si="4"/>
        <v/>
      </c>
      <c r="AT14" s="547" t="str">
        <f t="shared" si="5"/>
        <v>入力済</v>
      </c>
      <c r="AU14" s="547" t="str">
        <f t="shared" si="6"/>
        <v/>
      </c>
      <c r="AV14" s="547" t="str">
        <f t="shared" si="7"/>
        <v/>
      </c>
      <c r="AW14" s="545" t="str">
        <f t="shared" si="8"/>
        <v/>
      </c>
      <c r="AX14" s="545" t="str">
        <f t="shared" si="9"/>
        <v>入力済</v>
      </c>
      <c r="AY14" s="547" t="str">
        <f>IFERROR(VLOOKUP(K14,【参考】数式用!$AR$3:$AS$49, 2, FALSE), "")</f>
        <v/>
      </c>
      <c r="AZ14" s="545" t="str">
        <f t="shared" si="10"/>
        <v/>
      </c>
      <c r="BA14" s="548" t="str">
        <f t="shared" ref="BA14:BA77" si="21">IF(AND(OR(N14="処遇改善加算Ⅰイ",N14="処遇改善加算Ⅰロ"), AI14=""), "未入力","入力済")</f>
        <v>入力済</v>
      </c>
      <c r="BB14" s="547" t="str">
        <f>IFERROR(VLOOKUP(K14,【参考】数式用!$AX$3:$AY$56, 2, FALSE), "")</f>
        <v/>
      </c>
      <c r="BC14" s="545" t="str">
        <f t="shared" si="11"/>
        <v/>
      </c>
      <c r="BD14" s="548" t="str">
        <f t="shared" ref="BD14:BD43" si="22">IF(AND(COUNTIF(AE14:AH14,"*令和８年度特例要件を*")&gt;0,AJ14=""), "未入力","入力済")</f>
        <v>入力済</v>
      </c>
      <c r="BE14" s="548" t="str">
        <f t="shared" si="12"/>
        <v/>
      </c>
      <c r="BF14" s="548" t="str">
        <f t="shared" si="13"/>
        <v/>
      </c>
      <c r="BG14" s="548" t="str">
        <f t="shared" si="14"/>
        <v/>
      </c>
      <c r="BH14" s="548" t="str">
        <f t="shared" si="15"/>
        <v/>
      </c>
      <c r="BI14" s="548" t="str">
        <f t="shared" si="16"/>
        <v/>
      </c>
      <c r="BJ14" s="515"/>
      <c r="BK14" s="515"/>
      <c r="BL14" s="515"/>
      <c r="BM14" s="634" t="e">
        <f>VLOOKUP(K14,【参考】数式用!$A$2:$O$57,15,FALSE)</f>
        <v>#N/A</v>
      </c>
      <c r="BN14" s="515"/>
      <c r="BO14" s="515"/>
      <c r="BP14" s="515"/>
      <c r="BQ14" s="515"/>
      <c r="BR14" s="515"/>
      <c r="BS14" s="516"/>
      <c r="BT14" s="517"/>
    </row>
    <row r="15" spans="1:72" s="550" customFormat="1" ht="109.9" customHeight="1" thickBot="1">
      <c r="A15" s="454">
        <v>4</v>
      </c>
      <c r="B15" s="933" t="str">
        <f>IF(基本情報入力シート!B43="","",基本情報入力シート!B43)</f>
        <v/>
      </c>
      <c r="C15" s="934"/>
      <c r="D15" s="934"/>
      <c r="E15" s="934"/>
      <c r="F15" s="935"/>
      <c r="G15" s="455" t="str">
        <f>IF(基本情報入力シート!L43="", "", 基本情報入力シート!L43)</f>
        <v/>
      </c>
      <c r="H15" s="455" t="str">
        <f>IF(基本情報入力シート!Q43="", "", 基本情報入力シート!Q43)</f>
        <v/>
      </c>
      <c r="I15" s="455" t="str">
        <f>IF(基本情報入力シート!V43="", "", 基本情報入力シート!V43)</f>
        <v/>
      </c>
      <c r="J15" s="455" t="str">
        <f>IF(基本情報入力シート!W43="", "", 基本情報入力シート!W43)</f>
        <v/>
      </c>
      <c r="K15" s="455" t="str">
        <f>IF(基本情報入力シート!Z43="", "", 基本情報入力シート!Z43)</f>
        <v/>
      </c>
      <c r="L15" s="101" t="str">
        <f>IF(基本情報入力シート!AF43=0, "",基本情報入力シート!AF43)</f>
        <v/>
      </c>
      <c r="M15" s="142" t="str">
        <f>IF(AND(基本情報入力シート!AG43="",基本情報入力シート!AG43=""), "", 基本情報入力シート!AG43)</f>
        <v/>
      </c>
      <c r="N15" s="136"/>
      <c r="O15" s="155" t="str">
        <f>IFERROR(VLOOKUP(K15,【参考】数式用!$A$2:$M$57,MATCH(N15,【参考】数式用!$G$3:$M$3,0)+6,0),"")</f>
        <v/>
      </c>
      <c r="P15" s="456" t="s">
        <v>180</v>
      </c>
      <c r="Q15" s="141"/>
      <c r="R15" s="457" t="s">
        <v>271</v>
      </c>
      <c r="S15" s="141"/>
      <c r="T15" s="457" t="s">
        <v>272</v>
      </c>
      <c r="U15" s="141"/>
      <c r="V15" s="457" t="s">
        <v>271</v>
      </c>
      <c r="W15" s="141"/>
      <c r="X15" s="457" t="s">
        <v>273</v>
      </c>
      <c r="Y15" s="457" t="s">
        <v>274</v>
      </c>
      <c r="Z15" s="457" t="str">
        <f t="shared" si="0"/>
        <v/>
      </c>
      <c r="AA15" s="458" t="s">
        <v>275</v>
      </c>
      <c r="AB15" s="459" t="str">
        <f t="shared" si="1"/>
        <v/>
      </c>
      <c r="AC15" s="460" t="str">
        <f>IFERROR(ROUNDDOWN(ROUNDDOWN(ROUND(L15*VLOOKUP(K15,【参考】数式用!$A$2:$M$57,MATCH("処遇改善加算Ⅳ",【参考】数式用!$G$3:$M$3,0)+6,0),0)*M15,0)*Z15*0.5,0), "")</f>
        <v/>
      </c>
      <c r="AD15" s="156"/>
      <c r="AE15" s="157"/>
      <c r="AF15" s="157"/>
      <c r="AG15" s="158"/>
      <c r="AH15" s="159"/>
      <c r="AI15" s="160"/>
      <c r="AJ15" s="161"/>
      <c r="AK15" s="542" t="str">
        <f t="shared" ref="AK15" si="23">IF(AND(N15&lt;&gt;"", OR(U15&lt;&gt;9,W15&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IF(AND(AN15="加算対象外",N15&lt;&gt;"",AE15="―",AJ15="―"),"このサービスについては、キャリアパス要件Ⅰ・Ⅱか令和８年度特例要件のどちらかの要件を満たしている必要があります",""))</f>
        <v/>
      </c>
      <c r="AL15" s="543" t="str">
        <f t="shared" si="2"/>
        <v/>
      </c>
      <c r="AM15" s="544"/>
      <c r="AN15" s="545" t="str">
        <f>IFERROR(VLOOKUP(K15,【参考】数式用!$A$2:$N$57,14,FALSE),"")</f>
        <v/>
      </c>
      <c r="AO15" s="545" t="str">
        <f t="shared" ref="AO15" si="24">IF(AND(K15&lt;&gt;""),"N列に色付け","")</f>
        <v/>
      </c>
      <c r="AP15" s="546" t="str">
        <f t="shared" ref="AP15" si="25">IF(AND(AC15&lt;&gt;0,AC15&lt;&gt;"",AN15="加算対象"),IF(AD15="○","入力済","未入力"),"")</f>
        <v/>
      </c>
      <c r="AQ15" s="546" t="str">
        <f t="shared" ref="AQ15" si="26">"キャリアパス要件Ⅰ・Ⅱ_"&amp;AN15</f>
        <v>キャリアパス要件Ⅰ・Ⅱ_</v>
      </c>
      <c r="AR15" s="547" t="str">
        <f t="shared" ref="AR15" si="27">IF(AND(N15&lt;&gt;"", AE15=""), "未入力", "入力済")</f>
        <v>入力済</v>
      </c>
      <c r="AS15" s="545" t="str">
        <f t="shared" ref="AS15" si="28">IF(AND(N15&lt;&gt;"", N15&lt;&gt;"処遇改善加算Ⅳ",AN15="加算対象"),"AF列に色付け","")</f>
        <v/>
      </c>
      <c r="AT15" s="547" t="str">
        <f t="shared" ref="AT15" si="29">IF(AND(N15&lt;&gt;"", N15&lt;&gt;"処遇改善加算Ⅳ",N15&lt;&gt;"処遇改善加算", AF15=""), "未入力", "入力済")</f>
        <v>入力済</v>
      </c>
      <c r="AU15" s="547" t="str">
        <f t="shared" ref="AU15" si="30">IF(OR(ISNUMBER(SEARCH("処遇改善加算Ⅰ",N15)),ISNUMBER(SEARCH("処遇改善加算Ⅱ",N15))),"対象","")</f>
        <v/>
      </c>
      <c r="AV15" s="547" t="str">
        <f t="shared" ref="AV15" si="31">IF(AND(AN15="加算対象",N15&lt;&gt;"処遇改善加算Ⅲ",N15&lt;&gt;"処遇改善加算Ⅳ", N15&lt;&gt;"", AU15&lt;&gt;"対象外"), 1,"")</f>
        <v/>
      </c>
      <c r="AW15" s="545" t="str">
        <f t="shared" ref="AW15" si="32">IF(AND(AV15=1, OR(AG15=0,AG15=""),AN15="加算対象"),"AH列に色付け","")</f>
        <v/>
      </c>
      <c r="AX15" s="545" t="str">
        <f t="shared" si="9"/>
        <v>入力済</v>
      </c>
      <c r="AY15" s="547" t="str">
        <f>IFERROR(VLOOKUP(K15,【参考】数式用!$AR$3:$AS$49, 2, FALSE), "")</f>
        <v/>
      </c>
      <c r="AZ15" s="545" t="str">
        <f t="shared" ref="AZ15" si="33">IF(AND(AN15="加算対象",OR(N15="処遇改善加算Ⅰイ",N15="処遇改善加算Ⅰロ")),"AI列に色付け","")</f>
        <v/>
      </c>
      <c r="BA15" s="548" t="str">
        <f t="shared" ref="BA15" si="34">IF(AND(OR(N15="処遇改善加算Ⅰイ",N15="処遇改善加算Ⅰロ"), AI15=""), "未入力","入力済")</f>
        <v>入力済</v>
      </c>
      <c r="BB15" s="547" t="str">
        <f>IFERROR(VLOOKUP(K15,【参考】数式用!$AX$3:$AY$56, 2, FALSE), "")</f>
        <v/>
      </c>
      <c r="BC15" s="545" t="str">
        <f t="shared" si="11"/>
        <v/>
      </c>
      <c r="BD15" s="548" t="str">
        <f t="shared" si="22"/>
        <v>入力済</v>
      </c>
      <c r="BE15" s="548" t="str">
        <f t="shared" si="12"/>
        <v/>
      </c>
      <c r="BF15" s="548" t="str">
        <f t="shared" si="13"/>
        <v/>
      </c>
      <c r="BG15" s="548" t="str">
        <f t="shared" si="14"/>
        <v/>
      </c>
      <c r="BH15" s="548" t="str">
        <f t="shared" si="15"/>
        <v/>
      </c>
      <c r="BI15" s="548" t="str">
        <f t="shared" ref="BI15" si="35">G15</f>
        <v/>
      </c>
      <c r="BJ15" s="515"/>
      <c r="BK15" s="515"/>
      <c r="BL15" s="515"/>
      <c r="BM15" s="634" t="e">
        <f>VLOOKUP(K15,【参考】数式用!$A$2:$O$57,15,FALSE)</f>
        <v>#N/A</v>
      </c>
      <c r="BN15" s="515"/>
      <c r="BO15" s="515"/>
      <c r="BP15" s="515"/>
      <c r="BQ15" s="515"/>
      <c r="BR15" s="515"/>
      <c r="BS15" s="516"/>
      <c r="BT15" s="517"/>
    </row>
    <row r="16" spans="1:72" s="550" customFormat="1" ht="109.9" customHeight="1" thickBot="1">
      <c r="A16" s="454">
        <v>5</v>
      </c>
      <c r="B16" s="933" t="str">
        <f>IF(基本情報入力シート!B44="","",基本情報入力シート!B44)</f>
        <v/>
      </c>
      <c r="C16" s="934"/>
      <c r="D16" s="934"/>
      <c r="E16" s="934"/>
      <c r="F16" s="935"/>
      <c r="G16" s="455" t="str">
        <f>IF(基本情報入力シート!L44="", "", 基本情報入力シート!L44)</f>
        <v/>
      </c>
      <c r="H16" s="455" t="str">
        <f>IF(基本情報入力シート!Q44="", "", 基本情報入力シート!Q44)</f>
        <v/>
      </c>
      <c r="I16" s="455" t="str">
        <f>IF(基本情報入力シート!V44="", "", 基本情報入力シート!V44)</f>
        <v/>
      </c>
      <c r="J16" s="455" t="str">
        <f>IF(基本情報入力シート!W44="", "", 基本情報入力シート!W44)</f>
        <v/>
      </c>
      <c r="K16" s="455" t="str">
        <f>IF(基本情報入力シート!Z44="", "", 基本情報入力シート!Z44)</f>
        <v/>
      </c>
      <c r="L16" s="101" t="str">
        <f>IF(基本情報入力シート!AF44=0, "",基本情報入力シート!AF44)</f>
        <v/>
      </c>
      <c r="M16" s="142" t="str">
        <f>IF(AND(基本情報入力シート!AG44="",基本情報入力シート!AG44=""), "", 基本情報入力シート!AG44)</f>
        <v/>
      </c>
      <c r="N16" s="136"/>
      <c r="O16" s="155" t="str">
        <f>IFERROR(VLOOKUP(K16,【参考】数式用!$A$2:$M$57,MATCH(N16,【参考】数式用!$G$3:$M$3,0)+6,0),"")</f>
        <v/>
      </c>
      <c r="P16" s="456" t="s">
        <v>180</v>
      </c>
      <c r="Q16" s="141"/>
      <c r="R16" s="457" t="s">
        <v>271</v>
      </c>
      <c r="S16" s="141"/>
      <c r="T16" s="457" t="s">
        <v>272</v>
      </c>
      <c r="U16" s="141"/>
      <c r="V16" s="457" t="s">
        <v>271</v>
      </c>
      <c r="W16" s="141"/>
      <c r="X16" s="457" t="s">
        <v>182</v>
      </c>
      <c r="Y16" s="457" t="s">
        <v>274</v>
      </c>
      <c r="Z16" s="457" t="str">
        <f t="shared" si="0"/>
        <v/>
      </c>
      <c r="AA16" s="458" t="s">
        <v>275</v>
      </c>
      <c r="AB16" s="459" t="str">
        <f t="shared" si="1"/>
        <v/>
      </c>
      <c r="AC16" s="460" t="str">
        <f>IFERROR(ROUNDDOWN(ROUNDDOWN(ROUND(L16*VLOOKUP(K16,【参考】数式用!$A$2:$M$57,MATCH("処遇改善加算Ⅳ",【参考】数式用!$G$3:$M$3,0)+6,0),0)*M16,0)*Z16*0.5,0), "")</f>
        <v/>
      </c>
      <c r="AD16" s="156"/>
      <c r="AE16" s="157"/>
      <c r="AF16" s="157"/>
      <c r="AG16" s="158"/>
      <c r="AH16" s="159"/>
      <c r="AI16" s="160"/>
      <c r="AJ16" s="161"/>
      <c r="AK16" s="542" t="str">
        <f t="shared" si="17"/>
        <v/>
      </c>
      <c r="AL16" s="543" t="str">
        <f t="shared" si="2"/>
        <v/>
      </c>
      <c r="AM16" s="544"/>
      <c r="AN16" s="545" t="str">
        <f>IFERROR(VLOOKUP(K16,【参考】数式用!$A$2:$N$57,14,FALSE),"")</f>
        <v/>
      </c>
      <c r="AO16" s="545" t="str">
        <f t="shared" si="3"/>
        <v/>
      </c>
      <c r="AP16" s="546" t="str">
        <f t="shared" si="18"/>
        <v/>
      </c>
      <c r="AQ16" s="546" t="str">
        <f t="shared" si="19"/>
        <v>キャリアパス要件Ⅰ・Ⅱ_</v>
      </c>
      <c r="AR16" s="547" t="str">
        <f t="shared" si="20"/>
        <v>入力済</v>
      </c>
      <c r="AS16" s="545" t="str">
        <f t="shared" si="4"/>
        <v/>
      </c>
      <c r="AT16" s="547" t="str">
        <f t="shared" si="5"/>
        <v>入力済</v>
      </c>
      <c r="AU16" s="547" t="str">
        <f t="shared" si="6"/>
        <v/>
      </c>
      <c r="AV16" s="547" t="str">
        <f t="shared" si="7"/>
        <v/>
      </c>
      <c r="AW16" s="545" t="str">
        <f t="shared" si="8"/>
        <v/>
      </c>
      <c r="AX16" s="545" t="str">
        <f t="shared" si="9"/>
        <v>入力済</v>
      </c>
      <c r="AY16" s="547" t="str">
        <f>IFERROR(VLOOKUP(K16,【参考】数式用!$AR$3:$AS$49, 2, FALSE), "")</f>
        <v/>
      </c>
      <c r="AZ16" s="545" t="str">
        <f t="shared" si="10"/>
        <v/>
      </c>
      <c r="BA16" s="548" t="str">
        <f t="shared" si="21"/>
        <v>入力済</v>
      </c>
      <c r="BB16" s="547" t="str">
        <f>IFERROR(VLOOKUP(K16,【参考】数式用!$AX$3:$AY$56, 2, FALSE), "")</f>
        <v/>
      </c>
      <c r="BC16" s="545" t="str">
        <f t="shared" si="11"/>
        <v/>
      </c>
      <c r="BD16" s="548" t="str">
        <f t="shared" si="22"/>
        <v>入力済</v>
      </c>
      <c r="BE16" s="548" t="str">
        <f t="shared" si="12"/>
        <v/>
      </c>
      <c r="BF16" s="548" t="str">
        <f t="shared" si="13"/>
        <v/>
      </c>
      <c r="BG16" s="548" t="str">
        <f t="shared" si="14"/>
        <v/>
      </c>
      <c r="BH16" s="548" t="str">
        <f t="shared" si="15"/>
        <v/>
      </c>
      <c r="BI16" s="548" t="str">
        <f t="shared" si="16"/>
        <v/>
      </c>
      <c r="BJ16" s="515"/>
      <c r="BK16" s="515"/>
      <c r="BL16" s="515"/>
      <c r="BM16" s="634" t="e">
        <f>VLOOKUP(K16,【参考】数式用!$A$2:$O$57,15,FALSE)</f>
        <v>#N/A</v>
      </c>
      <c r="BN16" s="515"/>
      <c r="BO16" s="515"/>
      <c r="BP16" s="515"/>
      <c r="BQ16" s="515"/>
      <c r="BR16" s="515"/>
      <c r="BS16" s="516"/>
      <c r="BT16" s="517"/>
    </row>
    <row r="17" spans="1:65" s="550" customFormat="1" ht="109.9" customHeight="1" thickBot="1">
      <c r="A17" s="454">
        <v>6</v>
      </c>
      <c r="B17" s="933" t="str">
        <f>IF(基本情報入力シート!B45="","",基本情報入力シート!B45)</f>
        <v/>
      </c>
      <c r="C17" s="934"/>
      <c r="D17" s="934"/>
      <c r="E17" s="934"/>
      <c r="F17" s="935"/>
      <c r="G17" s="455" t="str">
        <f>IF(基本情報入力シート!L45="", "", 基本情報入力シート!L45)</f>
        <v/>
      </c>
      <c r="H17" s="455" t="str">
        <f>IF(基本情報入力シート!Q45="", "", 基本情報入力シート!Q45)</f>
        <v/>
      </c>
      <c r="I17" s="455" t="str">
        <f>IF(基本情報入力シート!V45="", "", 基本情報入力シート!V45)</f>
        <v/>
      </c>
      <c r="J17" s="455" t="str">
        <f>IF(基本情報入力シート!W45="", "", 基本情報入力シート!W45)</f>
        <v/>
      </c>
      <c r="K17" s="455" t="str">
        <f>IF(基本情報入力シート!Z45="", "", 基本情報入力シート!Z45)</f>
        <v/>
      </c>
      <c r="L17" s="101" t="str">
        <f>IF(基本情報入力シート!AF45=0, "",基本情報入力シート!AF45)</f>
        <v/>
      </c>
      <c r="M17" s="142" t="str">
        <f>IF(AND(基本情報入力シート!AG45="",基本情報入力シート!AG45=""), "", 基本情報入力シート!AG45)</f>
        <v/>
      </c>
      <c r="N17" s="136"/>
      <c r="O17" s="155" t="str">
        <f>IFERROR(VLOOKUP(K17,【参考】数式用!$A$2:$M$57,MATCH(N17,【参考】数式用!$G$3:$M$3,0)+6,0),"")</f>
        <v/>
      </c>
      <c r="P17" s="456" t="s">
        <v>180</v>
      </c>
      <c r="Q17" s="141"/>
      <c r="R17" s="457" t="s">
        <v>271</v>
      </c>
      <c r="S17" s="141"/>
      <c r="T17" s="457" t="s">
        <v>272</v>
      </c>
      <c r="U17" s="141"/>
      <c r="V17" s="457" t="s">
        <v>271</v>
      </c>
      <c r="W17" s="141"/>
      <c r="X17" s="457" t="s">
        <v>182</v>
      </c>
      <c r="Y17" s="457" t="s">
        <v>274</v>
      </c>
      <c r="Z17" s="457" t="str">
        <f t="shared" si="0"/>
        <v/>
      </c>
      <c r="AA17" s="458" t="s">
        <v>275</v>
      </c>
      <c r="AB17" s="459" t="str">
        <f t="shared" si="1"/>
        <v/>
      </c>
      <c r="AC17" s="460" t="str">
        <f>IFERROR(ROUNDDOWN(ROUNDDOWN(ROUND(L17*VLOOKUP(K17,【参考】数式用!$A$2:$M$57,MATCH("処遇改善加算Ⅳ",【参考】数式用!$G$3:$M$3,0)+6,0),0)*M17,0)*Z17*0.5,0), "")</f>
        <v/>
      </c>
      <c r="AD17" s="156"/>
      <c r="AE17" s="157"/>
      <c r="AF17" s="157"/>
      <c r="AG17" s="158"/>
      <c r="AH17" s="159"/>
      <c r="AI17" s="160"/>
      <c r="AJ17" s="161"/>
      <c r="AK17" s="542" t="str">
        <f>IF(AND(N17&lt;&gt;"", OR(U17&lt;&gt;9,W17&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IF(AND(AN17="加算対象外",N17&lt;&gt;"",AE17="―",AJ17="―"),"このサービスについては、キャリアパス要件Ⅰ・Ⅱか令和８年度特例要件のどちらかの要件を満たしている必要があります",""))</f>
        <v/>
      </c>
      <c r="AL17" s="543" t="str">
        <f t="shared" si="2"/>
        <v/>
      </c>
      <c r="AM17" s="544"/>
      <c r="AN17" s="545" t="str">
        <f>IFERROR(VLOOKUP(K17,【参考】数式用!$A$2:$N$57,14,FALSE),"")</f>
        <v/>
      </c>
      <c r="AO17" s="545" t="str">
        <f t="shared" si="3"/>
        <v/>
      </c>
      <c r="AP17" s="546" t="str">
        <f t="shared" si="18"/>
        <v/>
      </c>
      <c r="AQ17" s="546" t="str">
        <f t="shared" si="19"/>
        <v>キャリアパス要件Ⅰ・Ⅱ_</v>
      </c>
      <c r="AR17" s="547" t="str">
        <f>IF(AND(N17&lt;&gt;"", AE17=""), "未入力", "入力済")</f>
        <v>入力済</v>
      </c>
      <c r="AS17" s="545" t="str">
        <f t="shared" si="4"/>
        <v/>
      </c>
      <c r="AT17" s="547" t="str">
        <f>IF(AND(N17&lt;&gt;"", N17&lt;&gt;"処遇改善加算Ⅳ",N17&lt;&gt;"処遇改善加算", AF17=""), "未入力", "入力済")</f>
        <v>入力済</v>
      </c>
      <c r="AU17" s="547" t="str">
        <f t="shared" si="6"/>
        <v/>
      </c>
      <c r="AV17" s="547" t="str">
        <f t="shared" si="7"/>
        <v/>
      </c>
      <c r="AW17" s="545" t="str">
        <f t="shared" si="8"/>
        <v/>
      </c>
      <c r="AX17" s="545" t="str">
        <f t="shared" si="9"/>
        <v>入力済</v>
      </c>
      <c r="AY17" s="547" t="str">
        <f>IFERROR(VLOOKUP(K17,【参考】数式用!$AR$3:$AS$49, 2, FALSE), "")</f>
        <v/>
      </c>
      <c r="AZ17" s="545" t="str">
        <f t="shared" si="10"/>
        <v/>
      </c>
      <c r="BA17" s="548" t="str">
        <f t="shared" si="21"/>
        <v>入力済</v>
      </c>
      <c r="BB17" s="547" t="str">
        <f>IFERROR(VLOOKUP(K17,【参考】数式用!$AX$3:$AY$56, 2, FALSE), "")</f>
        <v/>
      </c>
      <c r="BC17" s="545" t="str">
        <f t="shared" si="11"/>
        <v/>
      </c>
      <c r="BD17" s="548" t="str">
        <f>IF(AND(COUNTIF(AE17:AH17,"*令和８年度特例要件を*")&gt;0,AJ17=""), "未入力","入力済")</f>
        <v>入力済</v>
      </c>
      <c r="BE17" s="548" t="str">
        <f t="shared" si="12"/>
        <v/>
      </c>
      <c r="BF17" s="548" t="str">
        <f t="shared" si="13"/>
        <v/>
      </c>
      <c r="BG17" s="548" t="str">
        <f t="shared" si="14"/>
        <v/>
      </c>
      <c r="BH17" s="548" t="str">
        <f t="shared" si="15"/>
        <v/>
      </c>
      <c r="BI17" s="548" t="str">
        <f t="shared" si="16"/>
        <v/>
      </c>
      <c r="BM17" s="634" t="e">
        <f>VLOOKUP(K17,【参考】数式用!$A$2:$O$57,15,FALSE)</f>
        <v>#N/A</v>
      </c>
    </row>
    <row r="18" spans="1:65" s="550" customFormat="1" ht="109.9" customHeight="1" thickBot="1">
      <c r="A18" s="454">
        <v>7</v>
      </c>
      <c r="B18" s="933" t="str">
        <f>IF(基本情報入力シート!B46="","",基本情報入力シート!B46)</f>
        <v/>
      </c>
      <c r="C18" s="934"/>
      <c r="D18" s="934"/>
      <c r="E18" s="934"/>
      <c r="F18" s="935"/>
      <c r="G18" s="455" t="str">
        <f>IF(基本情報入力シート!L46="", "", 基本情報入力シート!L46)</f>
        <v/>
      </c>
      <c r="H18" s="455" t="str">
        <f>IF(基本情報入力シート!Q46="", "", 基本情報入力シート!Q46)</f>
        <v/>
      </c>
      <c r="I18" s="455" t="str">
        <f>IF(基本情報入力シート!V46="", "", 基本情報入力シート!V46)</f>
        <v/>
      </c>
      <c r="J18" s="455" t="str">
        <f>IF(基本情報入力シート!W46="", "", 基本情報入力シート!W46)</f>
        <v/>
      </c>
      <c r="K18" s="455" t="str">
        <f>IF(基本情報入力シート!Z46="", "", 基本情報入力シート!Z46)</f>
        <v/>
      </c>
      <c r="L18" s="101" t="str">
        <f>IF(基本情報入力シート!AF46=0, "",基本情報入力シート!AF46)</f>
        <v/>
      </c>
      <c r="M18" s="142" t="str">
        <f>IF(AND(基本情報入力シート!AG46="",基本情報入力シート!AG46=""), "", 基本情報入力シート!AG46)</f>
        <v/>
      </c>
      <c r="N18" s="136"/>
      <c r="O18" s="155" t="str">
        <f>IFERROR(VLOOKUP(K18,【参考】数式用!$A$2:$M$57,MATCH(N18,【参考】数式用!$G$3:$M$3,0)+6,0),"")</f>
        <v/>
      </c>
      <c r="P18" s="456" t="s">
        <v>180</v>
      </c>
      <c r="Q18" s="141"/>
      <c r="R18" s="457" t="s">
        <v>271</v>
      </c>
      <c r="S18" s="141"/>
      <c r="T18" s="457" t="s">
        <v>272</v>
      </c>
      <c r="U18" s="141"/>
      <c r="V18" s="457" t="s">
        <v>271</v>
      </c>
      <c r="W18" s="141"/>
      <c r="X18" s="457" t="s">
        <v>273</v>
      </c>
      <c r="Y18" s="457" t="s">
        <v>274</v>
      </c>
      <c r="Z18" s="457" t="str">
        <f t="shared" si="0"/>
        <v/>
      </c>
      <c r="AA18" s="458" t="s">
        <v>275</v>
      </c>
      <c r="AB18" s="459" t="str">
        <f t="shared" si="1"/>
        <v/>
      </c>
      <c r="AC18" s="460" t="str">
        <f>IFERROR(ROUNDDOWN(ROUNDDOWN(ROUND(L18*VLOOKUP(K18,【参考】数式用!$A$2:$M$57,MATCH("処遇改善加算Ⅳ",【参考】数式用!$G$3:$M$3,0)+6,0),0)*M18,0)*Z18*0.5,0), "")</f>
        <v/>
      </c>
      <c r="AD18" s="156"/>
      <c r="AE18" s="157"/>
      <c r="AF18" s="157"/>
      <c r="AG18" s="158"/>
      <c r="AH18" s="159"/>
      <c r="AI18" s="160"/>
      <c r="AJ18" s="161"/>
      <c r="AK18" s="542" t="str">
        <f t="shared" si="17"/>
        <v/>
      </c>
      <c r="AL18" s="543" t="str">
        <f t="shared" si="2"/>
        <v/>
      </c>
      <c r="AM18" s="544"/>
      <c r="AN18" s="545" t="str">
        <f>IFERROR(VLOOKUP(K18,【参考】数式用!$A$2:$N$57,14,FALSE),"")</f>
        <v/>
      </c>
      <c r="AO18" s="545" t="str">
        <f t="shared" si="3"/>
        <v/>
      </c>
      <c r="AP18" s="546" t="str">
        <f t="shared" si="18"/>
        <v/>
      </c>
      <c r="AQ18" s="546" t="str">
        <f t="shared" si="19"/>
        <v>キャリアパス要件Ⅰ・Ⅱ_</v>
      </c>
      <c r="AR18" s="547" t="str">
        <f t="shared" si="20"/>
        <v>入力済</v>
      </c>
      <c r="AS18" s="545" t="str">
        <f t="shared" si="4"/>
        <v/>
      </c>
      <c r="AT18" s="547" t="str">
        <f t="shared" si="5"/>
        <v>入力済</v>
      </c>
      <c r="AU18" s="547" t="str">
        <f t="shared" si="6"/>
        <v/>
      </c>
      <c r="AV18" s="547" t="str">
        <f t="shared" si="7"/>
        <v/>
      </c>
      <c r="AW18" s="545" t="str">
        <f t="shared" si="8"/>
        <v/>
      </c>
      <c r="AX18" s="545" t="str">
        <f t="shared" si="9"/>
        <v>入力済</v>
      </c>
      <c r="AY18" s="547" t="str">
        <f>IFERROR(VLOOKUP(K18,【参考】数式用!$AR$3:$AS$49, 2, FALSE), "")</f>
        <v/>
      </c>
      <c r="AZ18" s="545" t="str">
        <f t="shared" si="10"/>
        <v/>
      </c>
      <c r="BA18" s="548" t="str">
        <f t="shared" si="21"/>
        <v>入力済</v>
      </c>
      <c r="BB18" s="547" t="str">
        <f>IFERROR(VLOOKUP(K18,【参考】数式用!$AX$3:$AY$56, 2, FALSE), "")</f>
        <v/>
      </c>
      <c r="BC18" s="545" t="str">
        <f t="shared" si="11"/>
        <v/>
      </c>
      <c r="BD18" s="548" t="str">
        <f t="shared" si="22"/>
        <v>入力済</v>
      </c>
      <c r="BE18" s="548" t="str">
        <f t="shared" si="12"/>
        <v/>
      </c>
      <c r="BF18" s="548" t="str">
        <f t="shared" si="13"/>
        <v/>
      </c>
      <c r="BG18" s="548" t="str">
        <f t="shared" si="14"/>
        <v/>
      </c>
      <c r="BH18" s="548" t="str">
        <f t="shared" si="15"/>
        <v/>
      </c>
      <c r="BI18" s="548" t="str">
        <f t="shared" si="16"/>
        <v/>
      </c>
      <c r="BM18" s="634" t="e">
        <f>VLOOKUP(K18,【参考】数式用!$A$2:$O$57,15,FALSE)</f>
        <v>#N/A</v>
      </c>
    </row>
    <row r="19" spans="1:65" s="550" customFormat="1" ht="109.9" customHeight="1" thickBot="1">
      <c r="A19" s="454">
        <v>8</v>
      </c>
      <c r="B19" s="980" t="str">
        <f>IF(基本情報入力シート!B47="","",基本情報入力シート!B47)</f>
        <v/>
      </c>
      <c r="C19" s="981"/>
      <c r="D19" s="981"/>
      <c r="E19" s="981"/>
      <c r="F19" s="982"/>
      <c r="G19" s="455" t="str">
        <f>IF(基本情報入力シート!L47="", "", 基本情報入力シート!L47)</f>
        <v/>
      </c>
      <c r="H19" s="455" t="str">
        <f>IF(基本情報入力シート!Q47="", "", 基本情報入力シート!Q47)</f>
        <v/>
      </c>
      <c r="I19" s="455" t="str">
        <f>IF(基本情報入力シート!V47="", "", 基本情報入力シート!V47)</f>
        <v/>
      </c>
      <c r="J19" s="455" t="str">
        <f>IF(基本情報入力シート!W47="", "", 基本情報入力シート!W47)</f>
        <v/>
      </c>
      <c r="K19" s="455" t="str">
        <f>IF(基本情報入力シート!Z47="", "", 基本情報入力シート!Z47)</f>
        <v/>
      </c>
      <c r="L19" s="101" t="str">
        <f>IF(基本情報入力シート!AF47=0, "",基本情報入力シート!AF47)</f>
        <v/>
      </c>
      <c r="M19" s="142" t="str">
        <f>IF(AND(基本情報入力シート!AG47="",基本情報入力シート!AG47=""), "", 基本情報入力シート!AG47)</f>
        <v/>
      </c>
      <c r="N19" s="136"/>
      <c r="O19" s="155" t="str">
        <f>IFERROR(VLOOKUP(K19,【参考】数式用!$A$2:$M$57,MATCH(N19,【参考】数式用!$G$3:$M$3,0)+6,0),"")</f>
        <v/>
      </c>
      <c r="P19" s="456" t="s">
        <v>180</v>
      </c>
      <c r="Q19" s="141"/>
      <c r="R19" s="457" t="s">
        <v>271</v>
      </c>
      <c r="S19" s="141"/>
      <c r="T19" s="457" t="s">
        <v>272</v>
      </c>
      <c r="U19" s="141"/>
      <c r="V19" s="457" t="s">
        <v>271</v>
      </c>
      <c r="W19" s="141"/>
      <c r="X19" s="457" t="s">
        <v>273</v>
      </c>
      <c r="Y19" s="457" t="s">
        <v>274</v>
      </c>
      <c r="Z19" s="457" t="str">
        <f t="shared" si="0"/>
        <v/>
      </c>
      <c r="AA19" s="458" t="s">
        <v>275</v>
      </c>
      <c r="AB19" s="459" t="str">
        <f t="shared" si="1"/>
        <v/>
      </c>
      <c r="AC19" s="460" t="str">
        <f>IFERROR(ROUNDDOWN(ROUNDDOWN(ROUND(L19*VLOOKUP(K19,【参考】数式用!$A$2:$M$57,MATCH("処遇改善加算Ⅳ",【参考】数式用!$G$3:$M$3,0)+6,0),0)*M19,0)*Z19*0.5,0), "")</f>
        <v/>
      </c>
      <c r="AD19" s="156"/>
      <c r="AE19" s="157"/>
      <c r="AF19" s="157"/>
      <c r="AG19" s="158"/>
      <c r="AH19" s="159"/>
      <c r="AI19" s="160"/>
      <c r="AJ19" s="161"/>
      <c r="AK19" s="542" t="str">
        <f t="shared" si="17"/>
        <v/>
      </c>
      <c r="AL19" s="543" t="str">
        <f t="shared" si="2"/>
        <v/>
      </c>
      <c r="AM19" s="544"/>
      <c r="AN19" s="545" t="str">
        <f>IFERROR(VLOOKUP(K19,【参考】数式用!$A$2:$N$57,14,FALSE),"")</f>
        <v/>
      </c>
      <c r="AO19" s="545" t="str">
        <f t="shared" si="3"/>
        <v/>
      </c>
      <c r="AP19" s="546" t="str">
        <f t="shared" si="18"/>
        <v/>
      </c>
      <c r="AQ19" s="546" t="str">
        <f t="shared" si="19"/>
        <v>キャリアパス要件Ⅰ・Ⅱ_</v>
      </c>
      <c r="AR19" s="547" t="str">
        <f t="shared" si="20"/>
        <v>入力済</v>
      </c>
      <c r="AS19" s="545" t="str">
        <f t="shared" si="4"/>
        <v/>
      </c>
      <c r="AT19" s="547" t="str">
        <f t="shared" si="5"/>
        <v>入力済</v>
      </c>
      <c r="AU19" s="547" t="str">
        <f t="shared" si="6"/>
        <v/>
      </c>
      <c r="AV19" s="547" t="str">
        <f t="shared" si="7"/>
        <v/>
      </c>
      <c r="AW19" s="545" t="str">
        <f t="shared" si="8"/>
        <v/>
      </c>
      <c r="AX19" s="545" t="str">
        <f t="shared" si="9"/>
        <v>入力済</v>
      </c>
      <c r="AY19" s="547" t="str">
        <f>IFERROR(VLOOKUP(K19,【参考】数式用!$AR$3:$AS$49, 2, FALSE), "")</f>
        <v/>
      </c>
      <c r="AZ19" s="545" t="str">
        <f t="shared" si="10"/>
        <v/>
      </c>
      <c r="BA19" s="548" t="str">
        <f t="shared" si="21"/>
        <v>入力済</v>
      </c>
      <c r="BB19" s="547" t="str">
        <f>IFERROR(VLOOKUP(K19,【参考】数式用!$AX$3:$AY$56, 2, FALSE), "")</f>
        <v/>
      </c>
      <c r="BC19" s="545" t="str">
        <f t="shared" si="11"/>
        <v/>
      </c>
      <c r="BD19" s="548" t="str">
        <f t="shared" si="22"/>
        <v>入力済</v>
      </c>
      <c r="BE19" s="548" t="str">
        <f t="shared" si="12"/>
        <v/>
      </c>
      <c r="BF19" s="548" t="str">
        <f t="shared" si="13"/>
        <v/>
      </c>
      <c r="BG19" s="548" t="str">
        <f t="shared" si="14"/>
        <v/>
      </c>
      <c r="BH19" s="548" t="str">
        <f t="shared" si="15"/>
        <v/>
      </c>
      <c r="BI19" s="548" t="str">
        <f t="shared" si="16"/>
        <v/>
      </c>
      <c r="BM19" s="634" t="e">
        <f>VLOOKUP(K19,【参考】数式用!$A$2:$O$57,15,FALSE)</f>
        <v>#N/A</v>
      </c>
    </row>
    <row r="20" spans="1:65" s="550" customFormat="1" ht="109.9" customHeight="1" thickBot="1">
      <c r="A20" s="454">
        <v>9</v>
      </c>
      <c r="B20" s="933" t="str">
        <f>IF(基本情報入力シート!B48="","",基本情報入力シート!B48)</f>
        <v/>
      </c>
      <c r="C20" s="934"/>
      <c r="D20" s="934"/>
      <c r="E20" s="934"/>
      <c r="F20" s="935"/>
      <c r="G20" s="455" t="str">
        <f>IF(基本情報入力シート!L48="", "", 基本情報入力シート!L48)</f>
        <v/>
      </c>
      <c r="H20" s="455" t="str">
        <f>IF(基本情報入力シート!Q48="", "", 基本情報入力シート!Q48)</f>
        <v/>
      </c>
      <c r="I20" s="455" t="str">
        <f>IF(基本情報入力シート!V48="", "", 基本情報入力シート!V48)</f>
        <v/>
      </c>
      <c r="J20" s="455" t="str">
        <f>IF(基本情報入力シート!W48="", "", 基本情報入力シート!W48)</f>
        <v/>
      </c>
      <c r="K20" s="455" t="str">
        <f>IF(基本情報入力シート!Z48="", "", 基本情報入力シート!Z48)</f>
        <v/>
      </c>
      <c r="L20" s="101" t="str">
        <f>IF(基本情報入力シート!AF48=0, "",基本情報入力シート!AF48)</f>
        <v/>
      </c>
      <c r="M20" s="142" t="str">
        <f>IF(AND(基本情報入力シート!AG48="",基本情報入力シート!AG48=""), "", 基本情報入力シート!AG48)</f>
        <v/>
      </c>
      <c r="N20" s="136"/>
      <c r="O20" s="155" t="str">
        <f>IFERROR(VLOOKUP(K20,【参考】数式用!$A$2:$M$57,MATCH(N20,【参考】数式用!$G$3:$M$3,0)+6,0),"")</f>
        <v/>
      </c>
      <c r="P20" s="456" t="s">
        <v>180</v>
      </c>
      <c r="Q20" s="141"/>
      <c r="R20" s="457" t="s">
        <v>271</v>
      </c>
      <c r="S20" s="141"/>
      <c r="T20" s="457" t="s">
        <v>272</v>
      </c>
      <c r="U20" s="141"/>
      <c r="V20" s="457" t="s">
        <v>271</v>
      </c>
      <c r="W20" s="141"/>
      <c r="X20" s="457" t="s">
        <v>273</v>
      </c>
      <c r="Y20" s="457" t="s">
        <v>274</v>
      </c>
      <c r="Z20" s="457" t="str">
        <f t="shared" si="0"/>
        <v/>
      </c>
      <c r="AA20" s="458" t="s">
        <v>275</v>
      </c>
      <c r="AB20" s="459" t="str">
        <f t="shared" si="1"/>
        <v/>
      </c>
      <c r="AC20" s="460" t="str">
        <f>IFERROR(ROUNDDOWN(ROUNDDOWN(ROUND(L20*VLOOKUP(K20,【参考】数式用!$A$2:$M$57,MATCH("処遇改善加算Ⅳ",【参考】数式用!$G$3:$M$3,0)+6,0),0)*M20,0)*Z20*0.5,0), "")</f>
        <v/>
      </c>
      <c r="AD20" s="156"/>
      <c r="AE20" s="157"/>
      <c r="AF20" s="157"/>
      <c r="AG20" s="158"/>
      <c r="AH20" s="159"/>
      <c r="AI20" s="160"/>
      <c r="AJ20" s="161"/>
      <c r="AK20" s="542" t="str">
        <f t="shared" si="17"/>
        <v/>
      </c>
      <c r="AL20" s="543" t="str">
        <f t="shared" si="2"/>
        <v/>
      </c>
      <c r="AM20" s="544"/>
      <c r="AN20" s="545" t="str">
        <f>IFERROR(VLOOKUP(K20,【参考】数式用!$A$2:$N$57,14,FALSE),"")</f>
        <v/>
      </c>
      <c r="AO20" s="545" t="str">
        <f t="shared" si="3"/>
        <v/>
      </c>
      <c r="AP20" s="546" t="str">
        <f t="shared" si="18"/>
        <v/>
      </c>
      <c r="AQ20" s="546" t="str">
        <f t="shared" si="19"/>
        <v>キャリアパス要件Ⅰ・Ⅱ_</v>
      </c>
      <c r="AR20" s="547" t="str">
        <f t="shared" si="20"/>
        <v>入力済</v>
      </c>
      <c r="AS20" s="545" t="str">
        <f t="shared" si="4"/>
        <v/>
      </c>
      <c r="AT20" s="547" t="str">
        <f t="shared" si="5"/>
        <v>入力済</v>
      </c>
      <c r="AU20" s="547" t="str">
        <f t="shared" si="6"/>
        <v/>
      </c>
      <c r="AV20" s="547" t="str">
        <f t="shared" si="7"/>
        <v/>
      </c>
      <c r="AW20" s="545" t="str">
        <f t="shared" si="8"/>
        <v/>
      </c>
      <c r="AX20" s="545" t="str">
        <f t="shared" si="9"/>
        <v>入力済</v>
      </c>
      <c r="AY20" s="547" t="str">
        <f>IFERROR(VLOOKUP(K20,【参考】数式用!$AR$3:$AS$49, 2, FALSE), "")</f>
        <v/>
      </c>
      <c r="AZ20" s="545" t="str">
        <f t="shared" si="10"/>
        <v/>
      </c>
      <c r="BA20" s="548" t="str">
        <f t="shared" si="21"/>
        <v>入力済</v>
      </c>
      <c r="BB20" s="547" t="str">
        <f>IFERROR(VLOOKUP(K20,【参考】数式用!$AX$3:$AY$56, 2, FALSE), "")</f>
        <v/>
      </c>
      <c r="BC20" s="545" t="str">
        <f t="shared" si="11"/>
        <v/>
      </c>
      <c r="BD20" s="548" t="str">
        <f t="shared" si="22"/>
        <v>入力済</v>
      </c>
      <c r="BE20" s="548" t="str">
        <f t="shared" si="12"/>
        <v/>
      </c>
      <c r="BF20" s="548" t="str">
        <f t="shared" si="13"/>
        <v/>
      </c>
      <c r="BG20" s="548" t="str">
        <f t="shared" si="14"/>
        <v/>
      </c>
      <c r="BH20" s="548" t="str">
        <f t="shared" si="15"/>
        <v/>
      </c>
      <c r="BI20" s="548" t="str">
        <f t="shared" si="16"/>
        <v/>
      </c>
      <c r="BM20" s="634" t="e">
        <f>VLOOKUP(K20,【参考】数式用!$A$2:$O$57,15,FALSE)</f>
        <v>#N/A</v>
      </c>
    </row>
    <row r="21" spans="1:65" s="550" customFormat="1" ht="109.9" customHeight="1" thickBot="1">
      <c r="A21" s="454">
        <v>10</v>
      </c>
      <c r="B21" s="933" t="str">
        <f>IF(基本情報入力シート!B49="","",基本情報入力シート!B49)</f>
        <v/>
      </c>
      <c r="C21" s="934"/>
      <c r="D21" s="934"/>
      <c r="E21" s="934"/>
      <c r="F21" s="935"/>
      <c r="G21" s="455" t="str">
        <f>IF(基本情報入力シート!L49="", "", 基本情報入力シート!L49)</f>
        <v/>
      </c>
      <c r="H21" s="455" t="str">
        <f>IF(基本情報入力シート!Q49="", "", 基本情報入力シート!Q49)</f>
        <v/>
      </c>
      <c r="I21" s="455" t="str">
        <f>IF(基本情報入力シート!V49="", "", 基本情報入力シート!V49)</f>
        <v/>
      </c>
      <c r="J21" s="455" t="str">
        <f>IF(基本情報入力シート!W49="", "", 基本情報入力シート!W49)</f>
        <v/>
      </c>
      <c r="K21" s="455" t="str">
        <f>IF(基本情報入力シート!Z49="", "", 基本情報入力シート!Z49)</f>
        <v/>
      </c>
      <c r="L21" s="101" t="str">
        <f>IF(基本情報入力シート!AF49=0, "",基本情報入力シート!AF49)</f>
        <v/>
      </c>
      <c r="M21" s="142" t="str">
        <f>IF(AND(基本情報入力シート!AG49="",基本情報入力シート!AG49=""), "", 基本情報入力シート!AG49)</f>
        <v/>
      </c>
      <c r="N21" s="136"/>
      <c r="O21" s="155" t="str">
        <f>IFERROR(VLOOKUP(K21,【参考】数式用!$A$2:$M$57,MATCH(N21,【参考】数式用!$G$3:$M$3,0)+6,0),"")</f>
        <v/>
      </c>
      <c r="P21" s="456" t="s">
        <v>180</v>
      </c>
      <c r="Q21" s="141"/>
      <c r="R21" s="457" t="s">
        <v>271</v>
      </c>
      <c r="S21" s="141"/>
      <c r="T21" s="457" t="s">
        <v>272</v>
      </c>
      <c r="U21" s="141"/>
      <c r="V21" s="457" t="s">
        <v>271</v>
      </c>
      <c r="W21" s="141"/>
      <c r="X21" s="457" t="s">
        <v>182</v>
      </c>
      <c r="Y21" s="457" t="s">
        <v>274</v>
      </c>
      <c r="Z21" s="457" t="str">
        <f t="shared" si="0"/>
        <v/>
      </c>
      <c r="AA21" s="458" t="s">
        <v>275</v>
      </c>
      <c r="AB21" s="459" t="str">
        <f t="shared" si="1"/>
        <v/>
      </c>
      <c r="AC21" s="460" t="str">
        <f>IFERROR(ROUNDDOWN(ROUNDDOWN(ROUND(L21*VLOOKUP(K21,【参考】数式用!$A$2:$M$57,MATCH("処遇改善加算Ⅳ",【参考】数式用!$G$3:$M$3,0)+6,0),0)*M21,0)*Z21*0.5,0), "")</f>
        <v/>
      </c>
      <c r="AD21" s="156"/>
      <c r="AE21" s="157"/>
      <c r="AF21" s="157"/>
      <c r="AG21" s="158"/>
      <c r="AH21" s="159"/>
      <c r="AI21" s="160"/>
      <c r="AJ21" s="161"/>
      <c r="AK21" s="542" t="str">
        <f t="shared" si="17"/>
        <v/>
      </c>
      <c r="AL21" s="543" t="str">
        <f t="shared" si="2"/>
        <v/>
      </c>
      <c r="AM21" s="544"/>
      <c r="AN21" s="545" t="str">
        <f>IFERROR(VLOOKUP(K21,【参考】数式用!$A$2:$N$57,14,FALSE),"")</f>
        <v/>
      </c>
      <c r="AO21" s="545" t="str">
        <f t="shared" si="3"/>
        <v/>
      </c>
      <c r="AP21" s="546" t="str">
        <f t="shared" si="18"/>
        <v/>
      </c>
      <c r="AQ21" s="546" t="str">
        <f t="shared" si="19"/>
        <v>キャリアパス要件Ⅰ・Ⅱ_</v>
      </c>
      <c r="AR21" s="547" t="str">
        <f t="shared" si="20"/>
        <v>入力済</v>
      </c>
      <c r="AS21" s="545" t="str">
        <f t="shared" si="4"/>
        <v/>
      </c>
      <c r="AT21" s="547" t="str">
        <f t="shared" si="5"/>
        <v>入力済</v>
      </c>
      <c r="AU21" s="547" t="str">
        <f t="shared" si="6"/>
        <v/>
      </c>
      <c r="AV21" s="547" t="str">
        <f t="shared" si="7"/>
        <v/>
      </c>
      <c r="AW21" s="545" t="str">
        <f t="shared" si="8"/>
        <v/>
      </c>
      <c r="AX21" s="545" t="str">
        <f t="shared" si="9"/>
        <v>入力済</v>
      </c>
      <c r="AY21" s="547" t="str">
        <f>IFERROR(VLOOKUP(K21,【参考】数式用!$AR$3:$AS$49, 2, FALSE), "")</f>
        <v/>
      </c>
      <c r="AZ21" s="545" t="str">
        <f t="shared" si="10"/>
        <v/>
      </c>
      <c r="BA21" s="548" t="str">
        <f t="shared" si="21"/>
        <v>入力済</v>
      </c>
      <c r="BB21" s="547" t="str">
        <f>IFERROR(VLOOKUP(K21,【参考】数式用!$AX$3:$AY$56, 2, FALSE), "")</f>
        <v/>
      </c>
      <c r="BC21" s="545" t="str">
        <f t="shared" si="11"/>
        <v/>
      </c>
      <c r="BD21" s="548" t="str">
        <f t="shared" si="22"/>
        <v>入力済</v>
      </c>
      <c r="BE21" s="548" t="str">
        <f t="shared" si="12"/>
        <v/>
      </c>
      <c r="BF21" s="548" t="str">
        <f t="shared" si="13"/>
        <v/>
      </c>
      <c r="BG21" s="548" t="str">
        <f t="shared" si="14"/>
        <v/>
      </c>
      <c r="BH21" s="548" t="str">
        <f t="shared" si="15"/>
        <v/>
      </c>
      <c r="BI21" s="548" t="str">
        <f t="shared" si="16"/>
        <v/>
      </c>
      <c r="BM21" s="634" t="e">
        <f>VLOOKUP(K21,【参考】数式用!$A$2:$O$57,15,FALSE)</f>
        <v>#N/A</v>
      </c>
    </row>
    <row r="22" spans="1:65" s="550" customFormat="1" ht="109.9" customHeight="1" thickBot="1">
      <c r="A22" s="454">
        <v>11</v>
      </c>
      <c r="B22" s="933" t="str">
        <f>IF(基本情報入力シート!B50="","",基本情報入力シート!B50)</f>
        <v/>
      </c>
      <c r="C22" s="934"/>
      <c r="D22" s="934"/>
      <c r="E22" s="934"/>
      <c r="F22" s="935"/>
      <c r="G22" s="455" t="str">
        <f>IF(基本情報入力シート!L50="", "", 基本情報入力シート!L50)</f>
        <v/>
      </c>
      <c r="H22" s="455" t="str">
        <f>IF(基本情報入力シート!Q50="", "", 基本情報入力シート!Q50)</f>
        <v/>
      </c>
      <c r="I22" s="455" t="str">
        <f>IF(基本情報入力シート!V50="", "", 基本情報入力シート!V50)</f>
        <v/>
      </c>
      <c r="J22" s="455" t="str">
        <f>IF(基本情報入力シート!W50="", "", 基本情報入力シート!W50)</f>
        <v/>
      </c>
      <c r="K22" s="455" t="str">
        <f>IF(基本情報入力シート!Z50="", "", 基本情報入力シート!Z50)</f>
        <v/>
      </c>
      <c r="L22" s="101" t="str">
        <f>IF(基本情報入力シート!AF50=0, "",基本情報入力シート!AF50)</f>
        <v/>
      </c>
      <c r="M22" s="142" t="str">
        <f>IF(AND(基本情報入力シート!AG50="",基本情報入力シート!AG50=""), "", 基本情報入力シート!AG50)</f>
        <v/>
      </c>
      <c r="N22" s="136"/>
      <c r="O22" s="155" t="str">
        <f>IFERROR(VLOOKUP(K22,【参考】数式用!$A$2:$M$57,MATCH(N22,【参考】数式用!$G$3:$M$3,0)+6,0),"")</f>
        <v/>
      </c>
      <c r="P22" s="456" t="s">
        <v>180</v>
      </c>
      <c r="Q22" s="141"/>
      <c r="R22" s="457" t="s">
        <v>271</v>
      </c>
      <c r="S22" s="141"/>
      <c r="T22" s="457" t="s">
        <v>272</v>
      </c>
      <c r="U22" s="141"/>
      <c r="V22" s="457" t="s">
        <v>271</v>
      </c>
      <c r="W22" s="141"/>
      <c r="X22" s="457" t="s">
        <v>273</v>
      </c>
      <c r="Y22" s="457" t="s">
        <v>274</v>
      </c>
      <c r="Z22" s="457" t="str">
        <f t="shared" si="0"/>
        <v/>
      </c>
      <c r="AA22" s="458" t="s">
        <v>275</v>
      </c>
      <c r="AB22" s="459" t="str">
        <f t="shared" si="1"/>
        <v/>
      </c>
      <c r="AC22" s="460" t="str">
        <f>IFERROR(ROUNDDOWN(ROUNDDOWN(ROUND(L22*VLOOKUP(K22,【参考】数式用!$A$2:$M$57,MATCH("処遇改善加算Ⅳ",【参考】数式用!$G$3:$M$3,0)+6,0),0)*M22,0)*Z22*0.5,0), "")</f>
        <v/>
      </c>
      <c r="AD22" s="156"/>
      <c r="AE22" s="157"/>
      <c r="AF22" s="157"/>
      <c r="AG22" s="158"/>
      <c r="AH22" s="159"/>
      <c r="AI22" s="160"/>
      <c r="AJ22" s="161"/>
      <c r="AK22" s="542" t="str">
        <f t="shared" si="17"/>
        <v/>
      </c>
      <c r="AL22" s="543" t="str">
        <f t="shared" si="2"/>
        <v/>
      </c>
      <c r="AM22" s="544"/>
      <c r="AN22" s="545" t="str">
        <f>IFERROR(VLOOKUP(K22,【参考】数式用!$A$2:$N$57,14,FALSE),"")</f>
        <v/>
      </c>
      <c r="AO22" s="545" t="str">
        <f t="shared" si="3"/>
        <v/>
      </c>
      <c r="AP22" s="546" t="str">
        <f t="shared" si="18"/>
        <v/>
      </c>
      <c r="AQ22" s="546" t="str">
        <f t="shared" si="19"/>
        <v>キャリアパス要件Ⅰ・Ⅱ_</v>
      </c>
      <c r="AR22" s="547" t="str">
        <f t="shared" si="20"/>
        <v>入力済</v>
      </c>
      <c r="AS22" s="545" t="str">
        <f t="shared" si="4"/>
        <v/>
      </c>
      <c r="AT22" s="547" t="str">
        <f t="shared" si="5"/>
        <v>入力済</v>
      </c>
      <c r="AU22" s="547" t="str">
        <f t="shared" si="6"/>
        <v/>
      </c>
      <c r="AV22" s="547" t="str">
        <f t="shared" si="7"/>
        <v/>
      </c>
      <c r="AW22" s="545" t="str">
        <f t="shared" si="8"/>
        <v/>
      </c>
      <c r="AX22" s="545" t="str">
        <f t="shared" si="9"/>
        <v>入力済</v>
      </c>
      <c r="AY22" s="547" t="str">
        <f>IFERROR(VLOOKUP(K22,【参考】数式用!$AR$3:$AS$49, 2, FALSE), "")</f>
        <v/>
      </c>
      <c r="AZ22" s="545" t="str">
        <f t="shared" si="10"/>
        <v/>
      </c>
      <c r="BA22" s="548" t="str">
        <f t="shared" si="21"/>
        <v>入力済</v>
      </c>
      <c r="BB22" s="547" t="str">
        <f>IFERROR(VLOOKUP(K22,【参考】数式用!$AX$3:$AY$56, 2, FALSE), "")</f>
        <v/>
      </c>
      <c r="BC22" s="545" t="str">
        <f t="shared" si="11"/>
        <v/>
      </c>
      <c r="BD22" s="548" t="str">
        <f t="shared" si="22"/>
        <v>入力済</v>
      </c>
      <c r="BE22" s="548" t="str">
        <f t="shared" si="12"/>
        <v/>
      </c>
      <c r="BF22" s="548" t="str">
        <f t="shared" si="13"/>
        <v/>
      </c>
      <c r="BG22" s="548" t="str">
        <f t="shared" si="14"/>
        <v/>
      </c>
      <c r="BH22" s="548" t="str">
        <f t="shared" si="15"/>
        <v/>
      </c>
      <c r="BI22" s="548" t="str">
        <f t="shared" si="16"/>
        <v/>
      </c>
      <c r="BM22" s="634" t="e">
        <f>VLOOKUP(K22,【参考】数式用!$A$2:$O$57,15,FALSE)</f>
        <v>#N/A</v>
      </c>
    </row>
    <row r="23" spans="1:65" s="550" customFormat="1" ht="109.9" customHeight="1" thickBot="1">
      <c r="A23" s="454">
        <v>12</v>
      </c>
      <c r="B23" s="933" t="str">
        <f>IF(基本情報入力シート!B51="","",基本情報入力シート!B51)</f>
        <v/>
      </c>
      <c r="C23" s="934"/>
      <c r="D23" s="934"/>
      <c r="E23" s="934"/>
      <c r="F23" s="935"/>
      <c r="G23" s="455" t="str">
        <f>IF(基本情報入力シート!L51="", "", 基本情報入力シート!L51)</f>
        <v/>
      </c>
      <c r="H23" s="455" t="str">
        <f>IF(基本情報入力シート!Q51="", "", 基本情報入力シート!Q51)</f>
        <v/>
      </c>
      <c r="I23" s="455" t="str">
        <f>IF(基本情報入力シート!V51="", "", 基本情報入力シート!V51)</f>
        <v/>
      </c>
      <c r="J23" s="455" t="str">
        <f>IF(基本情報入力シート!W51="", "", 基本情報入力シート!W51)</f>
        <v/>
      </c>
      <c r="K23" s="455" t="str">
        <f>IF(基本情報入力シート!Z51="", "", 基本情報入力シート!Z51)</f>
        <v/>
      </c>
      <c r="L23" s="101" t="str">
        <f>IF(基本情報入力シート!AF51=0, "",基本情報入力シート!AF51)</f>
        <v/>
      </c>
      <c r="M23" s="142" t="str">
        <f>IF(AND(基本情報入力シート!AG51="",基本情報入力シート!AG51=""), "", 基本情報入力シート!AG51)</f>
        <v/>
      </c>
      <c r="N23" s="136"/>
      <c r="O23" s="155" t="str">
        <f>IFERROR(VLOOKUP(K23,【参考】数式用!$A$2:$M$57,MATCH(N23,【参考】数式用!$G$3:$M$3,0)+6,0),"")</f>
        <v/>
      </c>
      <c r="P23" s="456" t="s">
        <v>180</v>
      </c>
      <c r="Q23" s="141"/>
      <c r="R23" s="457" t="s">
        <v>271</v>
      </c>
      <c r="S23" s="141"/>
      <c r="T23" s="457" t="s">
        <v>272</v>
      </c>
      <c r="U23" s="141"/>
      <c r="V23" s="457" t="s">
        <v>271</v>
      </c>
      <c r="W23" s="141"/>
      <c r="X23" s="457" t="s">
        <v>273</v>
      </c>
      <c r="Y23" s="457" t="s">
        <v>274</v>
      </c>
      <c r="Z23" s="457" t="str">
        <f t="shared" si="0"/>
        <v/>
      </c>
      <c r="AA23" s="458" t="s">
        <v>275</v>
      </c>
      <c r="AB23" s="459" t="str">
        <f t="shared" si="1"/>
        <v/>
      </c>
      <c r="AC23" s="460" t="str">
        <f>IFERROR(ROUNDDOWN(ROUNDDOWN(ROUND(L23*VLOOKUP(K23,【参考】数式用!$A$2:$M$57,MATCH("処遇改善加算Ⅳ",【参考】数式用!$G$3:$M$3,0)+6,0),0)*M23,0)*Z23*0.5,0), "")</f>
        <v/>
      </c>
      <c r="AD23" s="156"/>
      <c r="AE23" s="157"/>
      <c r="AF23" s="157"/>
      <c r="AG23" s="158"/>
      <c r="AH23" s="159"/>
      <c r="AI23" s="160"/>
      <c r="AJ23" s="161"/>
      <c r="AK23" s="542" t="str">
        <f t="shared" si="17"/>
        <v/>
      </c>
      <c r="AL23" s="543" t="str">
        <f t="shared" si="2"/>
        <v/>
      </c>
      <c r="AM23" s="544"/>
      <c r="AN23" s="545" t="str">
        <f>IFERROR(VLOOKUP(K23,【参考】数式用!$A$2:$N$57,14,FALSE),"")</f>
        <v/>
      </c>
      <c r="AO23" s="545" t="str">
        <f t="shared" si="3"/>
        <v/>
      </c>
      <c r="AP23" s="546" t="str">
        <f t="shared" si="18"/>
        <v/>
      </c>
      <c r="AQ23" s="546" t="str">
        <f t="shared" si="19"/>
        <v>キャリアパス要件Ⅰ・Ⅱ_</v>
      </c>
      <c r="AR23" s="547" t="str">
        <f t="shared" si="20"/>
        <v>入力済</v>
      </c>
      <c r="AS23" s="545" t="str">
        <f t="shared" si="4"/>
        <v/>
      </c>
      <c r="AT23" s="547" t="str">
        <f t="shared" si="5"/>
        <v>入力済</v>
      </c>
      <c r="AU23" s="547" t="str">
        <f t="shared" si="6"/>
        <v/>
      </c>
      <c r="AV23" s="547" t="str">
        <f t="shared" si="7"/>
        <v/>
      </c>
      <c r="AW23" s="545" t="str">
        <f t="shared" si="8"/>
        <v/>
      </c>
      <c r="AX23" s="545" t="str">
        <f t="shared" si="9"/>
        <v>入力済</v>
      </c>
      <c r="AY23" s="547" t="str">
        <f>IFERROR(VLOOKUP(K23,【参考】数式用!$AR$3:$AS$49, 2, FALSE), "")</f>
        <v/>
      </c>
      <c r="AZ23" s="545" t="str">
        <f t="shared" si="10"/>
        <v/>
      </c>
      <c r="BA23" s="548" t="str">
        <f t="shared" si="21"/>
        <v>入力済</v>
      </c>
      <c r="BB23" s="547" t="str">
        <f>IFERROR(VLOOKUP(K23,【参考】数式用!$AX$3:$AY$56, 2, FALSE), "")</f>
        <v/>
      </c>
      <c r="BC23" s="545" t="str">
        <f t="shared" si="11"/>
        <v/>
      </c>
      <c r="BD23" s="548" t="str">
        <f t="shared" si="22"/>
        <v>入力済</v>
      </c>
      <c r="BE23" s="548" t="str">
        <f t="shared" si="12"/>
        <v/>
      </c>
      <c r="BF23" s="548" t="str">
        <f t="shared" si="13"/>
        <v/>
      </c>
      <c r="BG23" s="548" t="str">
        <f t="shared" si="14"/>
        <v/>
      </c>
      <c r="BH23" s="548" t="str">
        <f t="shared" si="15"/>
        <v/>
      </c>
      <c r="BI23" s="548" t="str">
        <f t="shared" si="16"/>
        <v/>
      </c>
      <c r="BM23" s="634" t="e">
        <f>VLOOKUP(K23,【参考】数式用!$A$2:$O$57,15,FALSE)</f>
        <v>#N/A</v>
      </c>
    </row>
    <row r="24" spans="1:65" s="550" customFormat="1" ht="109.9" customHeight="1" thickBot="1">
      <c r="A24" s="454">
        <v>13</v>
      </c>
      <c r="B24" s="933" t="str">
        <f>IF(基本情報入力シート!B52="","",基本情報入力シート!B52)</f>
        <v/>
      </c>
      <c r="C24" s="934"/>
      <c r="D24" s="934"/>
      <c r="E24" s="934"/>
      <c r="F24" s="935"/>
      <c r="G24" s="455" t="str">
        <f>IF(基本情報入力シート!L52="", "", 基本情報入力シート!L52)</f>
        <v/>
      </c>
      <c r="H24" s="455" t="str">
        <f>IF(基本情報入力シート!Q52="", "", 基本情報入力シート!Q52)</f>
        <v/>
      </c>
      <c r="I24" s="455" t="str">
        <f>IF(基本情報入力シート!V52="", "", 基本情報入力シート!V52)</f>
        <v/>
      </c>
      <c r="J24" s="455" t="str">
        <f>IF(基本情報入力シート!W52="", "", 基本情報入力シート!W52)</f>
        <v/>
      </c>
      <c r="K24" s="455" t="str">
        <f>IF(基本情報入力シート!Z52="", "", 基本情報入力シート!Z52)</f>
        <v/>
      </c>
      <c r="L24" s="101" t="str">
        <f>IF(基本情報入力シート!AF52=0, "",基本情報入力シート!AF52)</f>
        <v/>
      </c>
      <c r="M24" s="142" t="str">
        <f>IF(AND(基本情報入力シート!AG52="",基本情報入力シート!AG52=""), "", 基本情報入力シート!AG52)</f>
        <v/>
      </c>
      <c r="N24" s="136"/>
      <c r="O24" s="155" t="str">
        <f>IFERROR(VLOOKUP(K24,【参考】数式用!$A$2:$M$57,MATCH(N24,【参考】数式用!$G$3:$M$3,0)+6,0),"")</f>
        <v/>
      </c>
      <c r="P24" s="456" t="s">
        <v>180</v>
      </c>
      <c r="Q24" s="141"/>
      <c r="R24" s="457" t="s">
        <v>271</v>
      </c>
      <c r="S24" s="141"/>
      <c r="T24" s="457" t="s">
        <v>272</v>
      </c>
      <c r="U24" s="141"/>
      <c r="V24" s="457" t="s">
        <v>271</v>
      </c>
      <c r="W24" s="141"/>
      <c r="X24" s="457" t="s">
        <v>273</v>
      </c>
      <c r="Y24" s="457" t="s">
        <v>274</v>
      </c>
      <c r="Z24" s="457" t="str">
        <f t="shared" si="0"/>
        <v/>
      </c>
      <c r="AA24" s="458" t="s">
        <v>275</v>
      </c>
      <c r="AB24" s="459" t="str">
        <f t="shared" si="1"/>
        <v/>
      </c>
      <c r="AC24" s="460" t="str">
        <f>IFERROR(ROUNDDOWN(ROUNDDOWN(ROUND(L24*VLOOKUP(K24,【参考】数式用!$A$2:$M$57,MATCH("処遇改善加算Ⅳ",【参考】数式用!$G$3:$M$3,0)+6,0),0)*M24,0)*Z24*0.5,0), "")</f>
        <v/>
      </c>
      <c r="AD24" s="156"/>
      <c r="AE24" s="157"/>
      <c r="AF24" s="157"/>
      <c r="AG24" s="158"/>
      <c r="AH24" s="159"/>
      <c r="AI24" s="160"/>
      <c r="AJ24" s="161"/>
      <c r="AK24" s="542" t="str">
        <f t="shared" si="17"/>
        <v/>
      </c>
      <c r="AL24" s="543" t="str">
        <f t="shared" si="2"/>
        <v/>
      </c>
      <c r="AM24" s="544"/>
      <c r="AN24" s="545" t="str">
        <f>IFERROR(VLOOKUP(K24,【参考】数式用!$A$2:$N$57,14,FALSE),"")</f>
        <v/>
      </c>
      <c r="AO24" s="545" t="str">
        <f t="shared" si="3"/>
        <v/>
      </c>
      <c r="AP24" s="546" t="str">
        <f t="shared" si="18"/>
        <v/>
      </c>
      <c r="AQ24" s="546" t="str">
        <f t="shared" si="19"/>
        <v>キャリアパス要件Ⅰ・Ⅱ_</v>
      </c>
      <c r="AR24" s="547" t="str">
        <f t="shared" si="20"/>
        <v>入力済</v>
      </c>
      <c r="AS24" s="545" t="str">
        <f t="shared" si="4"/>
        <v/>
      </c>
      <c r="AT24" s="547" t="str">
        <f t="shared" si="5"/>
        <v>入力済</v>
      </c>
      <c r="AU24" s="547" t="str">
        <f t="shared" si="6"/>
        <v/>
      </c>
      <c r="AV24" s="547" t="str">
        <f t="shared" si="7"/>
        <v/>
      </c>
      <c r="AW24" s="545" t="str">
        <f t="shared" si="8"/>
        <v/>
      </c>
      <c r="AX24" s="545" t="str">
        <f t="shared" si="9"/>
        <v>入力済</v>
      </c>
      <c r="AY24" s="547" t="str">
        <f>IFERROR(VLOOKUP(K24,【参考】数式用!$AR$3:$AS$49, 2, FALSE), "")</f>
        <v/>
      </c>
      <c r="AZ24" s="545" t="str">
        <f t="shared" si="10"/>
        <v/>
      </c>
      <c r="BA24" s="548" t="str">
        <f t="shared" si="21"/>
        <v>入力済</v>
      </c>
      <c r="BB24" s="547" t="str">
        <f>IFERROR(VLOOKUP(K24,【参考】数式用!$AX$3:$AY$56, 2, FALSE), "")</f>
        <v/>
      </c>
      <c r="BC24" s="545" t="str">
        <f t="shared" si="11"/>
        <v/>
      </c>
      <c r="BD24" s="548" t="str">
        <f t="shared" si="22"/>
        <v>入力済</v>
      </c>
      <c r="BE24" s="548" t="str">
        <f t="shared" si="12"/>
        <v/>
      </c>
      <c r="BF24" s="548" t="str">
        <f t="shared" si="13"/>
        <v/>
      </c>
      <c r="BG24" s="548" t="str">
        <f t="shared" si="14"/>
        <v/>
      </c>
      <c r="BH24" s="548" t="str">
        <f t="shared" si="15"/>
        <v/>
      </c>
      <c r="BI24" s="548" t="str">
        <f t="shared" si="16"/>
        <v/>
      </c>
      <c r="BM24" s="634" t="e">
        <f>VLOOKUP(K24,【参考】数式用!$A$2:$O$57,15,FALSE)</f>
        <v>#N/A</v>
      </c>
    </row>
    <row r="25" spans="1:65" s="550" customFormat="1" ht="109.9" customHeight="1" thickBot="1">
      <c r="A25" s="454">
        <v>14</v>
      </c>
      <c r="B25" s="933" t="str">
        <f>IF(基本情報入力シート!B53="","",基本情報入力シート!B53)</f>
        <v/>
      </c>
      <c r="C25" s="934"/>
      <c r="D25" s="934"/>
      <c r="E25" s="934"/>
      <c r="F25" s="935"/>
      <c r="G25" s="455" t="str">
        <f>IF(基本情報入力シート!L53="", "", 基本情報入力シート!L53)</f>
        <v/>
      </c>
      <c r="H25" s="455" t="str">
        <f>IF(基本情報入力シート!Q53="", "", 基本情報入力シート!Q53)</f>
        <v/>
      </c>
      <c r="I25" s="455" t="str">
        <f>IF(基本情報入力シート!V53="", "", 基本情報入力シート!V53)</f>
        <v/>
      </c>
      <c r="J25" s="455" t="str">
        <f>IF(基本情報入力シート!W53="", "", 基本情報入力シート!W53)</f>
        <v/>
      </c>
      <c r="K25" s="455" t="str">
        <f>IF(基本情報入力シート!Z53="", "", 基本情報入力シート!Z53)</f>
        <v/>
      </c>
      <c r="L25" s="101" t="str">
        <f>IF(基本情報入力シート!AF53=0, "",基本情報入力シート!AF53)</f>
        <v/>
      </c>
      <c r="M25" s="142" t="str">
        <f>IF(AND(基本情報入力シート!AG53="",基本情報入力シート!AG53=""), "", 基本情報入力シート!AG53)</f>
        <v/>
      </c>
      <c r="N25" s="136"/>
      <c r="O25" s="155" t="str">
        <f>IFERROR(VLOOKUP(K25,【参考】数式用!$A$2:$M$57,MATCH(N25,【参考】数式用!$G$3:$M$3,0)+6,0),"")</f>
        <v/>
      </c>
      <c r="P25" s="456" t="s">
        <v>180</v>
      </c>
      <c r="Q25" s="141"/>
      <c r="R25" s="457" t="s">
        <v>271</v>
      </c>
      <c r="S25" s="141"/>
      <c r="T25" s="457" t="s">
        <v>272</v>
      </c>
      <c r="U25" s="141"/>
      <c r="V25" s="457" t="s">
        <v>271</v>
      </c>
      <c r="W25" s="141"/>
      <c r="X25" s="457" t="s">
        <v>182</v>
      </c>
      <c r="Y25" s="457" t="s">
        <v>274</v>
      </c>
      <c r="Z25" s="457" t="str">
        <f t="shared" si="0"/>
        <v/>
      </c>
      <c r="AA25" s="458" t="s">
        <v>275</v>
      </c>
      <c r="AB25" s="459" t="str">
        <f t="shared" si="1"/>
        <v/>
      </c>
      <c r="AC25" s="460" t="str">
        <f>IFERROR(ROUNDDOWN(ROUNDDOWN(ROUND(L25*VLOOKUP(K25,【参考】数式用!$A$2:$M$57,MATCH("処遇改善加算Ⅳ",【参考】数式用!$G$3:$M$3,0)+6,0),0)*M25,0)*Z25*0.5,0), "")</f>
        <v/>
      </c>
      <c r="AD25" s="156"/>
      <c r="AE25" s="157"/>
      <c r="AF25" s="157"/>
      <c r="AG25" s="158"/>
      <c r="AH25" s="159"/>
      <c r="AI25" s="160"/>
      <c r="AJ25" s="161"/>
      <c r="AK25" s="542" t="str">
        <f t="shared" si="17"/>
        <v/>
      </c>
      <c r="AL25" s="543" t="str">
        <f t="shared" si="2"/>
        <v/>
      </c>
      <c r="AM25" s="544"/>
      <c r="AN25" s="545" t="str">
        <f>IFERROR(VLOOKUP(K25,【参考】数式用!$A$2:$N$57,14,FALSE),"")</f>
        <v/>
      </c>
      <c r="AO25" s="545" t="str">
        <f t="shared" si="3"/>
        <v/>
      </c>
      <c r="AP25" s="546" t="str">
        <f t="shared" si="18"/>
        <v/>
      </c>
      <c r="AQ25" s="546" t="str">
        <f t="shared" si="19"/>
        <v>キャリアパス要件Ⅰ・Ⅱ_</v>
      </c>
      <c r="AR25" s="547" t="str">
        <f t="shared" si="20"/>
        <v>入力済</v>
      </c>
      <c r="AS25" s="545" t="str">
        <f t="shared" si="4"/>
        <v/>
      </c>
      <c r="AT25" s="547" t="str">
        <f t="shared" si="5"/>
        <v>入力済</v>
      </c>
      <c r="AU25" s="547" t="str">
        <f t="shared" si="6"/>
        <v/>
      </c>
      <c r="AV25" s="547" t="str">
        <f t="shared" si="7"/>
        <v/>
      </c>
      <c r="AW25" s="545" t="str">
        <f t="shared" si="8"/>
        <v/>
      </c>
      <c r="AX25" s="545" t="str">
        <f t="shared" si="9"/>
        <v>入力済</v>
      </c>
      <c r="AY25" s="547" t="str">
        <f>IFERROR(VLOOKUP(K25,【参考】数式用!$AR$3:$AS$49, 2, FALSE), "")</f>
        <v/>
      </c>
      <c r="AZ25" s="545" t="str">
        <f t="shared" si="10"/>
        <v/>
      </c>
      <c r="BA25" s="548" t="str">
        <f t="shared" si="21"/>
        <v>入力済</v>
      </c>
      <c r="BB25" s="547" t="str">
        <f>IFERROR(VLOOKUP(K25,【参考】数式用!$AX$3:$AY$56, 2, FALSE), "")</f>
        <v/>
      </c>
      <c r="BC25" s="545" t="str">
        <f t="shared" si="11"/>
        <v/>
      </c>
      <c r="BD25" s="548" t="str">
        <f t="shared" si="22"/>
        <v>入力済</v>
      </c>
      <c r="BE25" s="548" t="str">
        <f t="shared" si="12"/>
        <v/>
      </c>
      <c r="BF25" s="548" t="str">
        <f t="shared" si="13"/>
        <v/>
      </c>
      <c r="BG25" s="548" t="str">
        <f t="shared" si="14"/>
        <v/>
      </c>
      <c r="BH25" s="548" t="str">
        <f t="shared" si="15"/>
        <v/>
      </c>
      <c r="BI25" s="548" t="str">
        <f t="shared" si="16"/>
        <v/>
      </c>
      <c r="BM25" s="634" t="e">
        <f>VLOOKUP(K25,【参考】数式用!$A$2:$O$57,15,FALSE)</f>
        <v>#N/A</v>
      </c>
    </row>
    <row r="26" spans="1:65" s="550" customFormat="1" ht="109.9" customHeight="1" thickBot="1">
      <c r="A26" s="454">
        <v>15</v>
      </c>
      <c r="B26" s="933" t="str">
        <f>IF(基本情報入力シート!B54="","",基本情報入力シート!B54)</f>
        <v/>
      </c>
      <c r="C26" s="934"/>
      <c r="D26" s="934"/>
      <c r="E26" s="934"/>
      <c r="F26" s="935"/>
      <c r="G26" s="455" t="str">
        <f>IF(基本情報入力シート!L54="", "", 基本情報入力シート!L54)</f>
        <v/>
      </c>
      <c r="H26" s="455" t="str">
        <f>IF(基本情報入力シート!Q54="", "", 基本情報入力シート!Q54)</f>
        <v/>
      </c>
      <c r="I26" s="455" t="str">
        <f>IF(基本情報入力シート!V54="", "", 基本情報入力シート!V54)</f>
        <v/>
      </c>
      <c r="J26" s="455" t="str">
        <f>IF(基本情報入力シート!W54="", "", 基本情報入力シート!W54)</f>
        <v/>
      </c>
      <c r="K26" s="455" t="str">
        <f>IF(基本情報入力シート!Z54="", "", 基本情報入力シート!Z54)</f>
        <v/>
      </c>
      <c r="L26" s="101" t="str">
        <f>IF(基本情報入力シート!AF54=0, "",基本情報入力シート!AF54)</f>
        <v/>
      </c>
      <c r="M26" s="142" t="str">
        <f>IF(AND(基本情報入力シート!AG54="",基本情報入力シート!AG54=""), "", 基本情報入力シート!AG54)</f>
        <v/>
      </c>
      <c r="N26" s="136"/>
      <c r="O26" s="155" t="str">
        <f>IFERROR(VLOOKUP(K26,【参考】数式用!$A$2:$M$57,MATCH(N26,【参考】数式用!$G$3:$M$3,0)+6,0),"")</f>
        <v/>
      </c>
      <c r="P26" s="456" t="s">
        <v>180</v>
      </c>
      <c r="Q26" s="141"/>
      <c r="R26" s="457" t="s">
        <v>271</v>
      </c>
      <c r="S26" s="141"/>
      <c r="T26" s="457" t="s">
        <v>272</v>
      </c>
      <c r="U26" s="141"/>
      <c r="V26" s="457" t="s">
        <v>271</v>
      </c>
      <c r="W26" s="141"/>
      <c r="X26" s="457" t="s">
        <v>182</v>
      </c>
      <c r="Y26" s="457" t="s">
        <v>274</v>
      </c>
      <c r="Z26" s="457" t="str">
        <f t="shared" si="0"/>
        <v/>
      </c>
      <c r="AA26" s="458" t="s">
        <v>275</v>
      </c>
      <c r="AB26" s="459" t="str">
        <f t="shared" si="1"/>
        <v/>
      </c>
      <c r="AC26" s="460" t="str">
        <f>IFERROR(ROUNDDOWN(ROUNDDOWN(ROUND(L26*VLOOKUP(K26,【参考】数式用!$A$2:$M$57,MATCH("処遇改善加算Ⅳ",【参考】数式用!$G$3:$M$3,0)+6,0),0)*M26,0)*Z26*0.5,0), "")</f>
        <v/>
      </c>
      <c r="AD26" s="156"/>
      <c r="AE26" s="157"/>
      <c r="AF26" s="157"/>
      <c r="AG26" s="158"/>
      <c r="AH26" s="159"/>
      <c r="AI26" s="160"/>
      <c r="AJ26" s="161"/>
      <c r="AK26" s="542" t="str">
        <f t="shared" si="17"/>
        <v/>
      </c>
      <c r="AL26" s="543" t="str">
        <f t="shared" si="2"/>
        <v/>
      </c>
      <c r="AM26" s="544"/>
      <c r="AN26" s="545" t="str">
        <f>IFERROR(VLOOKUP(K26,【参考】数式用!$A$2:$N$57,14,FALSE),"")</f>
        <v/>
      </c>
      <c r="AO26" s="545" t="str">
        <f t="shared" si="3"/>
        <v/>
      </c>
      <c r="AP26" s="546" t="str">
        <f t="shared" si="18"/>
        <v/>
      </c>
      <c r="AQ26" s="546" t="str">
        <f t="shared" si="19"/>
        <v>キャリアパス要件Ⅰ・Ⅱ_</v>
      </c>
      <c r="AR26" s="547" t="str">
        <f t="shared" si="20"/>
        <v>入力済</v>
      </c>
      <c r="AS26" s="545" t="str">
        <f t="shared" si="4"/>
        <v/>
      </c>
      <c r="AT26" s="547" t="str">
        <f t="shared" si="5"/>
        <v>入力済</v>
      </c>
      <c r="AU26" s="547" t="str">
        <f t="shared" si="6"/>
        <v/>
      </c>
      <c r="AV26" s="547" t="str">
        <f t="shared" si="7"/>
        <v/>
      </c>
      <c r="AW26" s="545" t="str">
        <f t="shared" si="8"/>
        <v/>
      </c>
      <c r="AX26" s="545" t="str">
        <f t="shared" si="9"/>
        <v>入力済</v>
      </c>
      <c r="AY26" s="547" t="str">
        <f>IFERROR(VLOOKUP(K26,【参考】数式用!$AR$3:$AS$49, 2, FALSE), "")</f>
        <v/>
      </c>
      <c r="AZ26" s="545" t="str">
        <f t="shared" si="10"/>
        <v/>
      </c>
      <c r="BA26" s="548" t="str">
        <f t="shared" si="21"/>
        <v>入力済</v>
      </c>
      <c r="BB26" s="547" t="str">
        <f>IFERROR(VLOOKUP(K26,【参考】数式用!$AX$3:$AY$56, 2, FALSE), "")</f>
        <v/>
      </c>
      <c r="BC26" s="545" t="str">
        <f t="shared" si="11"/>
        <v/>
      </c>
      <c r="BD26" s="548" t="str">
        <f t="shared" si="22"/>
        <v>入力済</v>
      </c>
      <c r="BE26" s="548" t="str">
        <f t="shared" si="12"/>
        <v/>
      </c>
      <c r="BF26" s="548" t="str">
        <f t="shared" si="13"/>
        <v/>
      </c>
      <c r="BG26" s="548" t="str">
        <f t="shared" si="14"/>
        <v/>
      </c>
      <c r="BH26" s="548" t="str">
        <f t="shared" si="15"/>
        <v/>
      </c>
      <c r="BI26" s="548" t="str">
        <f t="shared" si="16"/>
        <v/>
      </c>
      <c r="BM26" s="634" t="e">
        <f>VLOOKUP(K26,【参考】数式用!$A$2:$O$57,15,FALSE)</f>
        <v>#N/A</v>
      </c>
    </row>
    <row r="27" spans="1:65" s="550" customFormat="1" ht="109.9" customHeight="1" thickBot="1">
      <c r="A27" s="454">
        <v>16</v>
      </c>
      <c r="B27" s="933" t="str">
        <f>IF(基本情報入力シート!B55="","",基本情報入力シート!B55)</f>
        <v/>
      </c>
      <c r="C27" s="934"/>
      <c r="D27" s="934"/>
      <c r="E27" s="934"/>
      <c r="F27" s="935"/>
      <c r="G27" s="455" t="str">
        <f>IF(基本情報入力シート!L55="", "", 基本情報入力シート!L55)</f>
        <v/>
      </c>
      <c r="H27" s="455" t="str">
        <f>IF(基本情報入力シート!Q55="", "", 基本情報入力シート!Q55)</f>
        <v/>
      </c>
      <c r="I27" s="455" t="str">
        <f>IF(基本情報入力シート!V55="", "", 基本情報入力シート!V55)</f>
        <v/>
      </c>
      <c r="J27" s="455" t="str">
        <f>IF(基本情報入力シート!W55="", "", 基本情報入力シート!W55)</f>
        <v/>
      </c>
      <c r="K27" s="455" t="str">
        <f>IF(基本情報入力シート!Z55="", "", 基本情報入力シート!Z55)</f>
        <v/>
      </c>
      <c r="L27" s="101" t="str">
        <f>IF(基本情報入力シート!AF55=0, "",基本情報入力シート!AF55)</f>
        <v/>
      </c>
      <c r="M27" s="142" t="str">
        <f>IF(AND(基本情報入力シート!AG55="",基本情報入力シート!AG55=""), "", 基本情報入力シート!AG55)</f>
        <v/>
      </c>
      <c r="N27" s="136"/>
      <c r="O27" s="155" t="str">
        <f>IFERROR(VLOOKUP(K27,【参考】数式用!$A$2:$M$57,MATCH(N27,【参考】数式用!$G$3:$M$3,0)+6,0),"")</f>
        <v/>
      </c>
      <c r="P27" s="456" t="s">
        <v>180</v>
      </c>
      <c r="Q27" s="141"/>
      <c r="R27" s="457" t="s">
        <v>271</v>
      </c>
      <c r="S27" s="141"/>
      <c r="T27" s="457" t="s">
        <v>272</v>
      </c>
      <c r="U27" s="141"/>
      <c r="V27" s="457" t="s">
        <v>271</v>
      </c>
      <c r="W27" s="141"/>
      <c r="X27" s="457" t="s">
        <v>273</v>
      </c>
      <c r="Y27" s="457" t="s">
        <v>274</v>
      </c>
      <c r="Z27" s="457" t="str">
        <f t="shared" si="0"/>
        <v/>
      </c>
      <c r="AA27" s="458" t="s">
        <v>275</v>
      </c>
      <c r="AB27" s="459" t="str">
        <f t="shared" si="1"/>
        <v/>
      </c>
      <c r="AC27" s="460" t="str">
        <f>IFERROR(ROUNDDOWN(ROUNDDOWN(ROUND(L27*VLOOKUP(K27,【参考】数式用!$A$2:$M$57,MATCH("処遇改善加算Ⅳ",【参考】数式用!$G$3:$M$3,0)+6,0),0)*M27,0)*Z27*0.5,0), "")</f>
        <v/>
      </c>
      <c r="AD27" s="156"/>
      <c r="AE27" s="157"/>
      <c r="AF27" s="157"/>
      <c r="AG27" s="158"/>
      <c r="AH27" s="159"/>
      <c r="AI27" s="160"/>
      <c r="AJ27" s="161"/>
      <c r="AK27" s="542" t="str">
        <f t="shared" si="17"/>
        <v/>
      </c>
      <c r="AL27" s="543" t="str">
        <f t="shared" si="2"/>
        <v/>
      </c>
      <c r="AM27" s="544"/>
      <c r="AN27" s="545" t="str">
        <f>IFERROR(VLOOKUP(K27,【参考】数式用!$A$2:$N$57,14,FALSE),"")</f>
        <v/>
      </c>
      <c r="AO27" s="545" t="str">
        <f t="shared" si="3"/>
        <v/>
      </c>
      <c r="AP27" s="546" t="str">
        <f t="shared" si="18"/>
        <v/>
      </c>
      <c r="AQ27" s="546" t="str">
        <f t="shared" si="19"/>
        <v>キャリアパス要件Ⅰ・Ⅱ_</v>
      </c>
      <c r="AR27" s="547" t="str">
        <f t="shared" si="20"/>
        <v>入力済</v>
      </c>
      <c r="AS27" s="545" t="str">
        <f t="shared" si="4"/>
        <v/>
      </c>
      <c r="AT27" s="547" t="str">
        <f t="shared" si="5"/>
        <v>入力済</v>
      </c>
      <c r="AU27" s="547" t="str">
        <f t="shared" si="6"/>
        <v/>
      </c>
      <c r="AV27" s="547" t="str">
        <f t="shared" si="7"/>
        <v/>
      </c>
      <c r="AW27" s="545" t="str">
        <f t="shared" si="8"/>
        <v/>
      </c>
      <c r="AX27" s="545" t="str">
        <f t="shared" si="9"/>
        <v>入力済</v>
      </c>
      <c r="AY27" s="547" t="str">
        <f>IFERROR(VLOOKUP(K27,【参考】数式用!$AR$3:$AS$49, 2, FALSE), "")</f>
        <v/>
      </c>
      <c r="AZ27" s="545" t="str">
        <f t="shared" si="10"/>
        <v/>
      </c>
      <c r="BA27" s="548" t="str">
        <f t="shared" si="21"/>
        <v>入力済</v>
      </c>
      <c r="BB27" s="547" t="str">
        <f>IFERROR(VLOOKUP(K27,【参考】数式用!$AX$3:$AY$56, 2, FALSE), "")</f>
        <v/>
      </c>
      <c r="BC27" s="545" t="str">
        <f t="shared" si="11"/>
        <v/>
      </c>
      <c r="BD27" s="548" t="str">
        <f t="shared" si="22"/>
        <v>入力済</v>
      </c>
      <c r="BE27" s="548" t="str">
        <f t="shared" si="12"/>
        <v/>
      </c>
      <c r="BF27" s="548" t="str">
        <f t="shared" si="13"/>
        <v/>
      </c>
      <c r="BG27" s="548" t="str">
        <f t="shared" si="14"/>
        <v/>
      </c>
      <c r="BH27" s="548" t="str">
        <f t="shared" si="15"/>
        <v/>
      </c>
      <c r="BI27" s="548" t="str">
        <f t="shared" si="16"/>
        <v/>
      </c>
      <c r="BM27" s="634" t="e">
        <f>VLOOKUP(K27,【参考】数式用!$A$2:$O$57,15,FALSE)</f>
        <v>#N/A</v>
      </c>
    </row>
    <row r="28" spans="1:65" s="550" customFormat="1" ht="109.9" customHeight="1" thickBot="1">
      <c r="A28" s="454">
        <v>17</v>
      </c>
      <c r="B28" s="933" t="str">
        <f>IF(基本情報入力シート!B56="","",基本情報入力シート!B56)</f>
        <v/>
      </c>
      <c r="C28" s="934"/>
      <c r="D28" s="934"/>
      <c r="E28" s="934"/>
      <c r="F28" s="935"/>
      <c r="G28" s="455" t="str">
        <f>IF(基本情報入力シート!L56="", "", 基本情報入力シート!L56)</f>
        <v/>
      </c>
      <c r="H28" s="455" t="str">
        <f>IF(基本情報入力シート!Q56="", "", 基本情報入力シート!Q56)</f>
        <v/>
      </c>
      <c r="I28" s="455" t="str">
        <f>IF(基本情報入力シート!V56="", "", 基本情報入力シート!V56)</f>
        <v/>
      </c>
      <c r="J28" s="455" t="str">
        <f>IF(基本情報入力シート!W56="", "", 基本情報入力シート!W56)</f>
        <v/>
      </c>
      <c r="K28" s="455" t="str">
        <f>IF(基本情報入力シート!Z56="", "", 基本情報入力シート!Z56)</f>
        <v/>
      </c>
      <c r="L28" s="101" t="str">
        <f>IF(基本情報入力シート!AF56=0, "",基本情報入力シート!AF56)</f>
        <v/>
      </c>
      <c r="M28" s="142" t="str">
        <f>IF(AND(基本情報入力シート!AG56="",基本情報入力シート!AG56=""), "", 基本情報入力シート!AG56)</f>
        <v/>
      </c>
      <c r="N28" s="136"/>
      <c r="O28" s="155" t="str">
        <f>IFERROR(VLOOKUP(K28,【参考】数式用!$A$2:$M$57,MATCH(N28,【参考】数式用!$G$3:$M$3,0)+6,0),"")</f>
        <v/>
      </c>
      <c r="P28" s="456" t="s">
        <v>180</v>
      </c>
      <c r="Q28" s="141"/>
      <c r="R28" s="457" t="s">
        <v>271</v>
      </c>
      <c r="S28" s="141"/>
      <c r="T28" s="457" t="s">
        <v>272</v>
      </c>
      <c r="U28" s="141"/>
      <c r="V28" s="457" t="s">
        <v>271</v>
      </c>
      <c r="W28" s="141"/>
      <c r="X28" s="457" t="s">
        <v>273</v>
      </c>
      <c r="Y28" s="457" t="s">
        <v>274</v>
      </c>
      <c r="Z28" s="457" t="str">
        <f t="shared" si="0"/>
        <v/>
      </c>
      <c r="AA28" s="458" t="s">
        <v>275</v>
      </c>
      <c r="AB28" s="459" t="str">
        <f t="shared" si="1"/>
        <v/>
      </c>
      <c r="AC28" s="460" t="str">
        <f>IFERROR(ROUNDDOWN(ROUNDDOWN(ROUND(L28*VLOOKUP(K28,【参考】数式用!$A$2:$M$57,MATCH("処遇改善加算Ⅳ",【参考】数式用!$G$3:$M$3,0)+6,0),0)*M28,0)*Z28*0.5,0), "")</f>
        <v/>
      </c>
      <c r="AD28" s="156"/>
      <c r="AE28" s="157"/>
      <c r="AF28" s="157"/>
      <c r="AG28" s="158"/>
      <c r="AH28" s="159"/>
      <c r="AI28" s="160"/>
      <c r="AJ28" s="161"/>
      <c r="AK28" s="542" t="str">
        <f t="shared" si="17"/>
        <v/>
      </c>
      <c r="AL28" s="543" t="str">
        <f t="shared" si="2"/>
        <v/>
      </c>
      <c r="AM28" s="544"/>
      <c r="AN28" s="545" t="str">
        <f>IFERROR(VLOOKUP(K28,【参考】数式用!$A$2:$N$57,14,FALSE),"")</f>
        <v/>
      </c>
      <c r="AO28" s="545" t="str">
        <f t="shared" si="3"/>
        <v/>
      </c>
      <c r="AP28" s="546" t="str">
        <f t="shared" si="18"/>
        <v/>
      </c>
      <c r="AQ28" s="546" t="str">
        <f t="shared" si="19"/>
        <v>キャリアパス要件Ⅰ・Ⅱ_</v>
      </c>
      <c r="AR28" s="547" t="str">
        <f t="shared" si="20"/>
        <v>入力済</v>
      </c>
      <c r="AS28" s="545" t="str">
        <f t="shared" si="4"/>
        <v/>
      </c>
      <c r="AT28" s="547" t="str">
        <f t="shared" si="5"/>
        <v>入力済</v>
      </c>
      <c r="AU28" s="547" t="str">
        <f t="shared" si="6"/>
        <v/>
      </c>
      <c r="AV28" s="547" t="str">
        <f t="shared" si="7"/>
        <v/>
      </c>
      <c r="AW28" s="545" t="str">
        <f t="shared" si="8"/>
        <v/>
      </c>
      <c r="AX28" s="545" t="str">
        <f t="shared" si="9"/>
        <v>入力済</v>
      </c>
      <c r="AY28" s="547" t="str">
        <f>IFERROR(VLOOKUP(K28,【参考】数式用!$AR$3:$AS$49, 2, FALSE), "")</f>
        <v/>
      </c>
      <c r="AZ28" s="545" t="str">
        <f t="shared" si="10"/>
        <v/>
      </c>
      <c r="BA28" s="548" t="str">
        <f t="shared" si="21"/>
        <v>入力済</v>
      </c>
      <c r="BB28" s="547" t="str">
        <f>IFERROR(VLOOKUP(K28,【参考】数式用!$AX$3:$AY$56, 2, FALSE), "")</f>
        <v/>
      </c>
      <c r="BC28" s="545" t="str">
        <f t="shared" si="11"/>
        <v/>
      </c>
      <c r="BD28" s="548" t="str">
        <f t="shared" si="22"/>
        <v>入力済</v>
      </c>
      <c r="BE28" s="548" t="str">
        <f t="shared" si="12"/>
        <v/>
      </c>
      <c r="BF28" s="548" t="str">
        <f t="shared" si="13"/>
        <v/>
      </c>
      <c r="BG28" s="548" t="str">
        <f t="shared" si="14"/>
        <v/>
      </c>
      <c r="BH28" s="548" t="str">
        <f t="shared" si="15"/>
        <v/>
      </c>
      <c r="BI28" s="548" t="str">
        <f t="shared" si="16"/>
        <v/>
      </c>
      <c r="BM28" s="634" t="e">
        <f>VLOOKUP(K28,【参考】数式用!$A$2:$O$57,15,FALSE)</f>
        <v>#N/A</v>
      </c>
    </row>
    <row r="29" spans="1:65" s="550" customFormat="1" ht="109.9" customHeight="1" thickBot="1">
      <c r="A29" s="454">
        <v>18</v>
      </c>
      <c r="B29" s="933" t="str">
        <f>IF(基本情報入力シート!B57="","",基本情報入力シート!B57)</f>
        <v/>
      </c>
      <c r="C29" s="934"/>
      <c r="D29" s="934"/>
      <c r="E29" s="934"/>
      <c r="F29" s="935"/>
      <c r="G29" s="455" t="str">
        <f>IF(基本情報入力シート!L57="", "", 基本情報入力シート!L57)</f>
        <v/>
      </c>
      <c r="H29" s="455" t="str">
        <f>IF(基本情報入力シート!Q57="", "", 基本情報入力シート!Q57)</f>
        <v/>
      </c>
      <c r="I29" s="455" t="str">
        <f>IF(基本情報入力シート!V57="", "", 基本情報入力シート!V57)</f>
        <v/>
      </c>
      <c r="J29" s="455" t="str">
        <f>IF(基本情報入力シート!W57="", "", 基本情報入力シート!W57)</f>
        <v/>
      </c>
      <c r="K29" s="455" t="str">
        <f>IF(基本情報入力シート!Z57="", "", 基本情報入力シート!Z57)</f>
        <v/>
      </c>
      <c r="L29" s="101" t="str">
        <f>IF(基本情報入力シート!AF57=0, "",基本情報入力シート!AF57)</f>
        <v/>
      </c>
      <c r="M29" s="142" t="str">
        <f>IF(AND(基本情報入力シート!AG57="",基本情報入力シート!AG57=""), "", 基本情報入力シート!AG57)</f>
        <v/>
      </c>
      <c r="N29" s="136"/>
      <c r="O29" s="155" t="str">
        <f>IFERROR(VLOOKUP(K29,【参考】数式用!$A$2:$M$57,MATCH(N29,【参考】数式用!$G$3:$M$3,0)+6,0),"")</f>
        <v/>
      </c>
      <c r="P29" s="456" t="s">
        <v>180</v>
      </c>
      <c r="Q29" s="141"/>
      <c r="R29" s="457" t="s">
        <v>271</v>
      </c>
      <c r="S29" s="141"/>
      <c r="T29" s="457" t="s">
        <v>272</v>
      </c>
      <c r="U29" s="141"/>
      <c r="V29" s="457" t="s">
        <v>271</v>
      </c>
      <c r="W29" s="141"/>
      <c r="X29" s="457" t="s">
        <v>273</v>
      </c>
      <c r="Y29" s="457" t="s">
        <v>274</v>
      </c>
      <c r="Z29" s="457" t="str">
        <f t="shared" si="0"/>
        <v/>
      </c>
      <c r="AA29" s="458" t="s">
        <v>275</v>
      </c>
      <c r="AB29" s="459" t="str">
        <f t="shared" si="1"/>
        <v/>
      </c>
      <c r="AC29" s="460" t="str">
        <f>IFERROR(ROUNDDOWN(ROUNDDOWN(ROUND(L29*VLOOKUP(K29,【参考】数式用!$A$2:$M$57,MATCH("処遇改善加算Ⅳ",【参考】数式用!$G$3:$M$3,0)+6,0),0)*M29,0)*Z29*0.5,0), "")</f>
        <v/>
      </c>
      <c r="AD29" s="156"/>
      <c r="AE29" s="157"/>
      <c r="AF29" s="157"/>
      <c r="AG29" s="158"/>
      <c r="AH29" s="159"/>
      <c r="AI29" s="160"/>
      <c r="AJ29" s="161"/>
      <c r="AK29" s="542" t="str">
        <f t="shared" si="17"/>
        <v/>
      </c>
      <c r="AL29" s="543" t="str">
        <f t="shared" si="2"/>
        <v/>
      </c>
      <c r="AM29" s="544"/>
      <c r="AN29" s="545" t="str">
        <f>IFERROR(VLOOKUP(K29,【参考】数式用!$A$2:$N$57,14,FALSE),"")</f>
        <v/>
      </c>
      <c r="AO29" s="545" t="str">
        <f t="shared" si="3"/>
        <v/>
      </c>
      <c r="AP29" s="546" t="str">
        <f t="shared" si="18"/>
        <v/>
      </c>
      <c r="AQ29" s="546" t="str">
        <f t="shared" si="19"/>
        <v>キャリアパス要件Ⅰ・Ⅱ_</v>
      </c>
      <c r="AR29" s="547" t="str">
        <f t="shared" si="20"/>
        <v>入力済</v>
      </c>
      <c r="AS29" s="545" t="str">
        <f t="shared" si="4"/>
        <v/>
      </c>
      <c r="AT29" s="547" t="str">
        <f t="shared" si="5"/>
        <v>入力済</v>
      </c>
      <c r="AU29" s="547" t="str">
        <f t="shared" si="6"/>
        <v/>
      </c>
      <c r="AV29" s="547" t="str">
        <f t="shared" si="7"/>
        <v/>
      </c>
      <c r="AW29" s="545" t="str">
        <f t="shared" si="8"/>
        <v/>
      </c>
      <c r="AX29" s="545" t="str">
        <f t="shared" si="9"/>
        <v>入力済</v>
      </c>
      <c r="AY29" s="547" t="str">
        <f>IFERROR(VLOOKUP(K29,【参考】数式用!$AR$3:$AS$49, 2, FALSE), "")</f>
        <v/>
      </c>
      <c r="AZ29" s="545" t="str">
        <f t="shared" si="10"/>
        <v/>
      </c>
      <c r="BA29" s="548" t="str">
        <f t="shared" si="21"/>
        <v>入力済</v>
      </c>
      <c r="BB29" s="547" t="str">
        <f>IFERROR(VLOOKUP(K29,【参考】数式用!$AX$3:$AY$56, 2, FALSE), "")</f>
        <v/>
      </c>
      <c r="BC29" s="545" t="str">
        <f t="shared" si="11"/>
        <v/>
      </c>
      <c r="BD29" s="548" t="str">
        <f t="shared" si="22"/>
        <v>入力済</v>
      </c>
      <c r="BE29" s="548" t="str">
        <f t="shared" si="12"/>
        <v/>
      </c>
      <c r="BF29" s="548" t="str">
        <f t="shared" si="13"/>
        <v/>
      </c>
      <c r="BG29" s="548" t="str">
        <f t="shared" si="14"/>
        <v/>
      </c>
      <c r="BH29" s="548" t="str">
        <f t="shared" si="15"/>
        <v/>
      </c>
      <c r="BI29" s="548" t="str">
        <f t="shared" si="16"/>
        <v/>
      </c>
      <c r="BM29" s="634" t="e">
        <f>VLOOKUP(K29,【参考】数式用!$A$2:$O$57,15,FALSE)</f>
        <v>#N/A</v>
      </c>
    </row>
    <row r="30" spans="1:65" s="550" customFormat="1" ht="109.9" customHeight="1" thickBot="1">
      <c r="A30" s="454">
        <v>19</v>
      </c>
      <c r="B30" s="933" t="str">
        <f>IF(基本情報入力シート!B58="","",基本情報入力シート!B58)</f>
        <v/>
      </c>
      <c r="C30" s="934"/>
      <c r="D30" s="934"/>
      <c r="E30" s="934"/>
      <c r="F30" s="935"/>
      <c r="G30" s="455" t="str">
        <f>IF(基本情報入力シート!L58="", "", 基本情報入力シート!L58)</f>
        <v/>
      </c>
      <c r="H30" s="455" t="str">
        <f>IF(基本情報入力シート!Q58="", "", 基本情報入力シート!Q58)</f>
        <v/>
      </c>
      <c r="I30" s="455" t="str">
        <f>IF(基本情報入力シート!V58="", "", 基本情報入力シート!V58)</f>
        <v/>
      </c>
      <c r="J30" s="455" t="str">
        <f>IF(基本情報入力シート!W58="", "", 基本情報入力シート!W58)</f>
        <v/>
      </c>
      <c r="K30" s="455" t="str">
        <f>IF(基本情報入力シート!Z58="", "", 基本情報入力シート!Z58)</f>
        <v/>
      </c>
      <c r="L30" s="101" t="str">
        <f>IF(基本情報入力シート!AF58=0, "",基本情報入力シート!AF58)</f>
        <v/>
      </c>
      <c r="M30" s="142" t="str">
        <f>IF(AND(基本情報入力シート!AG58="",基本情報入力シート!AG58=""), "", 基本情報入力シート!AG58)</f>
        <v/>
      </c>
      <c r="N30" s="136"/>
      <c r="O30" s="155" t="str">
        <f>IFERROR(VLOOKUP(K30,【参考】数式用!$A$2:$M$57,MATCH(N30,【参考】数式用!$G$3:$M$3,0)+6,0),"")</f>
        <v/>
      </c>
      <c r="P30" s="456" t="s">
        <v>180</v>
      </c>
      <c r="Q30" s="141"/>
      <c r="R30" s="457" t="s">
        <v>271</v>
      </c>
      <c r="S30" s="141"/>
      <c r="T30" s="457" t="s">
        <v>272</v>
      </c>
      <c r="U30" s="141"/>
      <c r="V30" s="457" t="s">
        <v>271</v>
      </c>
      <c r="W30" s="141"/>
      <c r="X30" s="457" t="s">
        <v>182</v>
      </c>
      <c r="Y30" s="457" t="s">
        <v>274</v>
      </c>
      <c r="Z30" s="457" t="str">
        <f t="shared" si="0"/>
        <v/>
      </c>
      <c r="AA30" s="458" t="s">
        <v>275</v>
      </c>
      <c r="AB30" s="459" t="str">
        <f t="shared" si="1"/>
        <v/>
      </c>
      <c r="AC30" s="460" t="str">
        <f>IFERROR(ROUNDDOWN(ROUNDDOWN(ROUND(L30*VLOOKUP(K30,【参考】数式用!$A$2:$M$57,MATCH("処遇改善加算Ⅳ",【参考】数式用!$G$3:$M$3,0)+6,0),0)*M30,0)*Z30*0.5,0), "")</f>
        <v/>
      </c>
      <c r="AD30" s="156"/>
      <c r="AE30" s="157"/>
      <c r="AF30" s="157"/>
      <c r="AG30" s="158"/>
      <c r="AH30" s="159"/>
      <c r="AI30" s="160"/>
      <c r="AJ30" s="161"/>
      <c r="AK30" s="542" t="str">
        <f t="shared" si="17"/>
        <v/>
      </c>
      <c r="AL30" s="543" t="str">
        <f t="shared" si="2"/>
        <v/>
      </c>
      <c r="AM30" s="544"/>
      <c r="AN30" s="545" t="str">
        <f>IFERROR(VLOOKUP(K30,【参考】数式用!$A$2:$N$57,14,FALSE),"")</f>
        <v/>
      </c>
      <c r="AO30" s="545" t="str">
        <f t="shared" si="3"/>
        <v/>
      </c>
      <c r="AP30" s="546" t="str">
        <f t="shared" si="18"/>
        <v/>
      </c>
      <c r="AQ30" s="546" t="str">
        <f t="shared" si="19"/>
        <v>キャリアパス要件Ⅰ・Ⅱ_</v>
      </c>
      <c r="AR30" s="547" t="str">
        <f t="shared" si="20"/>
        <v>入力済</v>
      </c>
      <c r="AS30" s="545" t="str">
        <f t="shared" si="4"/>
        <v/>
      </c>
      <c r="AT30" s="547" t="str">
        <f t="shared" si="5"/>
        <v>入力済</v>
      </c>
      <c r="AU30" s="547" t="str">
        <f t="shared" si="6"/>
        <v/>
      </c>
      <c r="AV30" s="547" t="str">
        <f t="shared" si="7"/>
        <v/>
      </c>
      <c r="AW30" s="545" t="str">
        <f t="shared" si="8"/>
        <v/>
      </c>
      <c r="AX30" s="545" t="str">
        <f t="shared" si="9"/>
        <v>入力済</v>
      </c>
      <c r="AY30" s="547" t="str">
        <f>IFERROR(VLOOKUP(K30,【参考】数式用!$AR$3:$AS$49, 2, FALSE), "")</f>
        <v/>
      </c>
      <c r="AZ30" s="545" t="str">
        <f t="shared" si="10"/>
        <v/>
      </c>
      <c r="BA30" s="548" t="str">
        <f t="shared" si="21"/>
        <v>入力済</v>
      </c>
      <c r="BB30" s="547" t="str">
        <f>IFERROR(VLOOKUP(K30,【参考】数式用!$AX$3:$AY$56, 2, FALSE), "")</f>
        <v/>
      </c>
      <c r="BC30" s="545" t="str">
        <f t="shared" si="11"/>
        <v/>
      </c>
      <c r="BD30" s="548" t="str">
        <f t="shared" si="22"/>
        <v>入力済</v>
      </c>
      <c r="BE30" s="548" t="str">
        <f t="shared" si="12"/>
        <v/>
      </c>
      <c r="BF30" s="548" t="str">
        <f t="shared" si="13"/>
        <v/>
      </c>
      <c r="BG30" s="548" t="str">
        <f t="shared" si="14"/>
        <v/>
      </c>
      <c r="BH30" s="548" t="str">
        <f t="shared" si="15"/>
        <v/>
      </c>
      <c r="BI30" s="548" t="str">
        <f t="shared" si="16"/>
        <v/>
      </c>
      <c r="BM30" s="634" t="e">
        <f>VLOOKUP(K30,【参考】数式用!$A$2:$O$57,15,FALSE)</f>
        <v>#N/A</v>
      </c>
    </row>
    <row r="31" spans="1:65" s="550" customFormat="1" ht="109.9" customHeight="1" thickBot="1">
      <c r="A31" s="454">
        <v>20</v>
      </c>
      <c r="B31" s="933" t="str">
        <f>IF(基本情報入力シート!B59="","",基本情報入力シート!B59)</f>
        <v/>
      </c>
      <c r="C31" s="934"/>
      <c r="D31" s="934"/>
      <c r="E31" s="934"/>
      <c r="F31" s="935"/>
      <c r="G31" s="455" t="str">
        <f>IF(基本情報入力シート!L59="", "", 基本情報入力シート!L59)</f>
        <v/>
      </c>
      <c r="H31" s="455" t="str">
        <f>IF(基本情報入力シート!Q59="", "", 基本情報入力シート!Q59)</f>
        <v/>
      </c>
      <c r="I31" s="455" t="str">
        <f>IF(基本情報入力シート!V59="", "", 基本情報入力シート!V59)</f>
        <v/>
      </c>
      <c r="J31" s="455" t="str">
        <f>IF(基本情報入力シート!W59="", "", 基本情報入力シート!W59)</f>
        <v/>
      </c>
      <c r="K31" s="455" t="str">
        <f>IF(基本情報入力シート!Z59="", "", 基本情報入力シート!Z59)</f>
        <v/>
      </c>
      <c r="L31" s="101" t="str">
        <f>IF(基本情報入力シート!AF59=0, "",基本情報入力シート!AF59)</f>
        <v/>
      </c>
      <c r="M31" s="142" t="str">
        <f>IF(AND(基本情報入力シート!AG59="",基本情報入力シート!AG59=""), "", 基本情報入力シート!AG59)</f>
        <v/>
      </c>
      <c r="N31" s="136"/>
      <c r="O31" s="155" t="str">
        <f>IFERROR(VLOOKUP(K31,【参考】数式用!$A$2:$M$57,MATCH(N31,【参考】数式用!$G$3:$M$3,0)+6,0),"")</f>
        <v/>
      </c>
      <c r="P31" s="456" t="s">
        <v>180</v>
      </c>
      <c r="Q31" s="141"/>
      <c r="R31" s="457" t="s">
        <v>271</v>
      </c>
      <c r="S31" s="141"/>
      <c r="T31" s="457" t="s">
        <v>272</v>
      </c>
      <c r="U31" s="141"/>
      <c r="V31" s="457" t="s">
        <v>271</v>
      </c>
      <c r="W31" s="141"/>
      <c r="X31" s="457" t="s">
        <v>273</v>
      </c>
      <c r="Y31" s="457" t="s">
        <v>274</v>
      </c>
      <c r="Z31" s="457" t="str">
        <f t="shared" si="0"/>
        <v/>
      </c>
      <c r="AA31" s="458" t="s">
        <v>275</v>
      </c>
      <c r="AB31" s="459" t="str">
        <f t="shared" si="1"/>
        <v/>
      </c>
      <c r="AC31" s="460" t="str">
        <f>IFERROR(ROUNDDOWN(ROUNDDOWN(ROUND(L31*VLOOKUP(K31,【参考】数式用!$A$2:$M$57,MATCH("処遇改善加算Ⅳ",【参考】数式用!$G$3:$M$3,0)+6,0),0)*M31,0)*Z31*0.5,0), "")</f>
        <v/>
      </c>
      <c r="AD31" s="156"/>
      <c r="AE31" s="157"/>
      <c r="AF31" s="157"/>
      <c r="AG31" s="158"/>
      <c r="AH31" s="159"/>
      <c r="AI31" s="160"/>
      <c r="AJ31" s="161"/>
      <c r="AK31" s="542" t="str">
        <f t="shared" si="17"/>
        <v/>
      </c>
      <c r="AL31" s="543" t="str">
        <f t="shared" si="2"/>
        <v/>
      </c>
      <c r="AM31" s="544"/>
      <c r="AN31" s="545" t="str">
        <f>IFERROR(VLOOKUP(K31,【参考】数式用!$A$2:$N$57,14,FALSE),"")</f>
        <v/>
      </c>
      <c r="AO31" s="545" t="str">
        <f t="shared" si="3"/>
        <v/>
      </c>
      <c r="AP31" s="546" t="str">
        <f t="shared" si="18"/>
        <v/>
      </c>
      <c r="AQ31" s="546" t="str">
        <f t="shared" si="19"/>
        <v>キャリアパス要件Ⅰ・Ⅱ_</v>
      </c>
      <c r="AR31" s="547" t="str">
        <f t="shared" si="20"/>
        <v>入力済</v>
      </c>
      <c r="AS31" s="545" t="str">
        <f t="shared" si="4"/>
        <v/>
      </c>
      <c r="AT31" s="547" t="str">
        <f t="shared" si="5"/>
        <v>入力済</v>
      </c>
      <c r="AU31" s="547" t="str">
        <f t="shared" si="6"/>
        <v/>
      </c>
      <c r="AV31" s="547" t="str">
        <f t="shared" si="7"/>
        <v/>
      </c>
      <c r="AW31" s="545" t="str">
        <f t="shared" si="8"/>
        <v/>
      </c>
      <c r="AX31" s="545" t="str">
        <f t="shared" si="9"/>
        <v>入力済</v>
      </c>
      <c r="AY31" s="547" t="str">
        <f>IFERROR(VLOOKUP(K31,【参考】数式用!$AR$3:$AS$49, 2, FALSE), "")</f>
        <v/>
      </c>
      <c r="AZ31" s="545" t="str">
        <f t="shared" si="10"/>
        <v/>
      </c>
      <c r="BA31" s="548" t="str">
        <f t="shared" si="21"/>
        <v>入力済</v>
      </c>
      <c r="BB31" s="547" t="str">
        <f>IFERROR(VLOOKUP(K31,【参考】数式用!$AX$3:$AY$56, 2, FALSE), "")</f>
        <v/>
      </c>
      <c r="BC31" s="545" t="str">
        <f t="shared" si="11"/>
        <v/>
      </c>
      <c r="BD31" s="548" t="str">
        <f t="shared" si="22"/>
        <v>入力済</v>
      </c>
      <c r="BE31" s="548" t="str">
        <f t="shared" si="12"/>
        <v/>
      </c>
      <c r="BF31" s="548" t="str">
        <f t="shared" si="13"/>
        <v/>
      </c>
      <c r="BG31" s="548" t="str">
        <f t="shared" si="14"/>
        <v/>
      </c>
      <c r="BH31" s="548" t="str">
        <f t="shared" si="15"/>
        <v/>
      </c>
      <c r="BI31" s="548" t="str">
        <f t="shared" si="16"/>
        <v/>
      </c>
      <c r="BM31" s="634" t="e">
        <f>VLOOKUP(K31,【参考】数式用!$A$2:$O$57,15,FALSE)</f>
        <v>#N/A</v>
      </c>
    </row>
    <row r="32" spans="1:65" s="550" customFormat="1" ht="109.9" customHeight="1" thickBot="1">
      <c r="A32" s="454">
        <v>21</v>
      </c>
      <c r="B32" s="933" t="str">
        <f>IF(基本情報入力シート!B60="","",基本情報入力シート!B60)</f>
        <v/>
      </c>
      <c r="C32" s="934"/>
      <c r="D32" s="934"/>
      <c r="E32" s="934"/>
      <c r="F32" s="935"/>
      <c r="G32" s="455" t="str">
        <f>IF(基本情報入力シート!L60="", "", 基本情報入力シート!L60)</f>
        <v/>
      </c>
      <c r="H32" s="455" t="str">
        <f>IF(基本情報入力シート!Q60="", "", 基本情報入力シート!Q60)</f>
        <v/>
      </c>
      <c r="I32" s="455" t="str">
        <f>IF(基本情報入力シート!V60="", "", 基本情報入力シート!V60)</f>
        <v/>
      </c>
      <c r="J32" s="455" t="str">
        <f>IF(基本情報入力シート!W60="", "", 基本情報入力シート!W60)</f>
        <v/>
      </c>
      <c r="K32" s="455" t="str">
        <f>IF(基本情報入力シート!Z60="", "", 基本情報入力シート!Z60)</f>
        <v/>
      </c>
      <c r="L32" s="101" t="str">
        <f>IF(基本情報入力シート!AF60=0, "",基本情報入力シート!AF60)</f>
        <v/>
      </c>
      <c r="M32" s="142" t="str">
        <f>IF(AND(基本情報入力シート!AG60="",基本情報入力シート!AG60=""), "", 基本情報入力シート!AG60)</f>
        <v/>
      </c>
      <c r="N32" s="136"/>
      <c r="O32" s="155" t="str">
        <f>IFERROR(VLOOKUP(K32,【参考】数式用!$A$2:$M$57,MATCH(N32,【参考】数式用!$G$3:$M$3,0)+6,0),"")</f>
        <v/>
      </c>
      <c r="P32" s="456" t="s">
        <v>180</v>
      </c>
      <c r="Q32" s="141"/>
      <c r="R32" s="457" t="s">
        <v>271</v>
      </c>
      <c r="S32" s="141"/>
      <c r="T32" s="457" t="s">
        <v>272</v>
      </c>
      <c r="U32" s="141"/>
      <c r="V32" s="457" t="s">
        <v>271</v>
      </c>
      <c r="W32" s="141"/>
      <c r="X32" s="457" t="s">
        <v>273</v>
      </c>
      <c r="Y32" s="457" t="s">
        <v>274</v>
      </c>
      <c r="Z32" s="457" t="str">
        <f t="shared" si="0"/>
        <v/>
      </c>
      <c r="AA32" s="458" t="s">
        <v>275</v>
      </c>
      <c r="AB32" s="459" t="str">
        <f t="shared" si="1"/>
        <v/>
      </c>
      <c r="AC32" s="460" t="str">
        <f>IFERROR(ROUNDDOWN(ROUNDDOWN(ROUND(L32*VLOOKUP(K32,【参考】数式用!$A$2:$M$57,MATCH("処遇改善加算Ⅳ",【参考】数式用!$G$3:$M$3,0)+6,0),0)*M32,0)*Z32*0.5,0), "")</f>
        <v/>
      </c>
      <c r="AD32" s="156"/>
      <c r="AE32" s="157"/>
      <c r="AF32" s="157"/>
      <c r="AG32" s="158"/>
      <c r="AH32" s="159"/>
      <c r="AI32" s="160"/>
      <c r="AJ32" s="161"/>
      <c r="AK32" s="542" t="str">
        <f t="shared" si="17"/>
        <v/>
      </c>
      <c r="AL32" s="543" t="str">
        <f t="shared" si="2"/>
        <v/>
      </c>
      <c r="AM32" s="544"/>
      <c r="AN32" s="545" t="str">
        <f>IFERROR(VLOOKUP(K32,【参考】数式用!$A$2:$N$57,14,FALSE),"")</f>
        <v/>
      </c>
      <c r="AO32" s="545" t="str">
        <f t="shared" si="3"/>
        <v/>
      </c>
      <c r="AP32" s="546" t="str">
        <f t="shared" si="18"/>
        <v/>
      </c>
      <c r="AQ32" s="546" t="str">
        <f t="shared" si="19"/>
        <v>キャリアパス要件Ⅰ・Ⅱ_</v>
      </c>
      <c r="AR32" s="547" t="str">
        <f t="shared" si="20"/>
        <v>入力済</v>
      </c>
      <c r="AS32" s="545" t="str">
        <f t="shared" si="4"/>
        <v/>
      </c>
      <c r="AT32" s="547" t="str">
        <f t="shared" si="5"/>
        <v>入力済</v>
      </c>
      <c r="AU32" s="547" t="str">
        <f t="shared" si="6"/>
        <v/>
      </c>
      <c r="AV32" s="547" t="str">
        <f t="shared" si="7"/>
        <v/>
      </c>
      <c r="AW32" s="545" t="str">
        <f t="shared" si="8"/>
        <v/>
      </c>
      <c r="AX32" s="545" t="str">
        <f t="shared" si="9"/>
        <v>入力済</v>
      </c>
      <c r="AY32" s="547" t="str">
        <f>IFERROR(VLOOKUP(K32,【参考】数式用!$AR$3:$AS$49, 2, FALSE), "")</f>
        <v/>
      </c>
      <c r="AZ32" s="545" t="str">
        <f t="shared" si="10"/>
        <v/>
      </c>
      <c r="BA32" s="548" t="str">
        <f t="shared" si="21"/>
        <v>入力済</v>
      </c>
      <c r="BB32" s="547" t="str">
        <f>IFERROR(VLOOKUP(K32,【参考】数式用!$AX$3:$AY$56, 2, FALSE), "")</f>
        <v/>
      </c>
      <c r="BC32" s="545" t="str">
        <f t="shared" si="11"/>
        <v/>
      </c>
      <c r="BD32" s="548" t="str">
        <f t="shared" si="22"/>
        <v>入力済</v>
      </c>
      <c r="BE32" s="548" t="str">
        <f t="shared" si="12"/>
        <v/>
      </c>
      <c r="BF32" s="548" t="str">
        <f t="shared" si="13"/>
        <v/>
      </c>
      <c r="BG32" s="548" t="str">
        <f t="shared" si="14"/>
        <v/>
      </c>
      <c r="BH32" s="548" t="str">
        <f t="shared" si="15"/>
        <v/>
      </c>
      <c r="BI32" s="548" t="str">
        <f t="shared" si="16"/>
        <v/>
      </c>
      <c r="BM32" s="634" t="e">
        <f>VLOOKUP(K32,【参考】数式用!$A$2:$O$57,15,FALSE)</f>
        <v>#N/A</v>
      </c>
    </row>
    <row r="33" spans="1:65" s="550" customFormat="1" ht="109.9" customHeight="1" thickBot="1">
      <c r="A33" s="454">
        <v>22</v>
      </c>
      <c r="B33" s="933" t="str">
        <f>IF(基本情報入力シート!B61="","",基本情報入力シート!B61)</f>
        <v/>
      </c>
      <c r="C33" s="934"/>
      <c r="D33" s="934"/>
      <c r="E33" s="934"/>
      <c r="F33" s="935"/>
      <c r="G33" s="455" t="str">
        <f>IF(基本情報入力シート!L61="", "", 基本情報入力シート!L61)</f>
        <v/>
      </c>
      <c r="H33" s="455" t="str">
        <f>IF(基本情報入力シート!Q61="", "", 基本情報入力シート!Q61)</f>
        <v/>
      </c>
      <c r="I33" s="455" t="str">
        <f>IF(基本情報入力シート!V61="", "", 基本情報入力シート!V61)</f>
        <v/>
      </c>
      <c r="J33" s="455" t="str">
        <f>IF(基本情報入力シート!W61="", "", 基本情報入力シート!W61)</f>
        <v/>
      </c>
      <c r="K33" s="455" t="str">
        <f>IF(基本情報入力シート!Z61="", "", 基本情報入力シート!Z61)</f>
        <v/>
      </c>
      <c r="L33" s="101" t="str">
        <f>IF(基本情報入力シート!AF61=0, "",基本情報入力シート!AF61)</f>
        <v/>
      </c>
      <c r="M33" s="142" t="str">
        <f>IF(AND(基本情報入力シート!AG61="",基本情報入力シート!AG61=""), "", 基本情報入力シート!AG61)</f>
        <v/>
      </c>
      <c r="N33" s="136"/>
      <c r="O33" s="155" t="str">
        <f>IFERROR(VLOOKUP(K33,【参考】数式用!$A$2:$M$57,MATCH(N33,【参考】数式用!$G$3:$M$3,0)+6,0),"")</f>
        <v/>
      </c>
      <c r="P33" s="456" t="s">
        <v>180</v>
      </c>
      <c r="Q33" s="141"/>
      <c r="R33" s="457" t="s">
        <v>271</v>
      </c>
      <c r="S33" s="141"/>
      <c r="T33" s="457" t="s">
        <v>272</v>
      </c>
      <c r="U33" s="141"/>
      <c r="V33" s="457" t="s">
        <v>271</v>
      </c>
      <c r="W33" s="141"/>
      <c r="X33" s="457" t="s">
        <v>273</v>
      </c>
      <c r="Y33" s="457" t="s">
        <v>274</v>
      </c>
      <c r="Z33" s="457" t="str">
        <f t="shared" si="0"/>
        <v/>
      </c>
      <c r="AA33" s="458" t="s">
        <v>275</v>
      </c>
      <c r="AB33" s="459" t="str">
        <f t="shared" si="1"/>
        <v/>
      </c>
      <c r="AC33" s="460" t="str">
        <f>IFERROR(ROUNDDOWN(ROUNDDOWN(ROUND(L33*VLOOKUP(K33,【参考】数式用!$A$2:$M$57,MATCH("処遇改善加算Ⅳ",【参考】数式用!$G$3:$M$3,0)+6,0),0)*M33,0)*Z33*0.5,0), "")</f>
        <v/>
      </c>
      <c r="AD33" s="156"/>
      <c r="AE33" s="157"/>
      <c r="AF33" s="157"/>
      <c r="AG33" s="158"/>
      <c r="AH33" s="159"/>
      <c r="AI33" s="160"/>
      <c r="AJ33" s="161"/>
      <c r="AK33" s="542" t="str">
        <f t="shared" si="17"/>
        <v/>
      </c>
      <c r="AL33" s="543" t="str">
        <f t="shared" si="2"/>
        <v/>
      </c>
      <c r="AM33" s="544"/>
      <c r="AN33" s="545" t="str">
        <f>IFERROR(VLOOKUP(K33,【参考】数式用!$A$2:$N$57,14,FALSE),"")</f>
        <v/>
      </c>
      <c r="AO33" s="545" t="str">
        <f t="shared" si="3"/>
        <v/>
      </c>
      <c r="AP33" s="546" t="str">
        <f t="shared" si="18"/>
        <v/>
      </c>
      <c r="AQ33" s="546" t="str">
        <f t="shared" si="19"/>
        <v>キャリアパス要件Ⅰ・Ⅱ_</v>
      </c>
      <c r="AR33" s="547" t="str">
        <f t="shared" si="20"/>
        <v>入力済</v>
      </c>
      <c r="AS33" s="545" t="str">
        <f t="shared" si="4"/>
        <v/>
      </c>
      <c r="AT33" s="547" t="str">
        <f t="shared" si="5"/>
        <v>入力済</v>
      </c>
      <c r="AU33" s="547" t="str">
        <f t="shared" si="6"/>
        <v/>
      </c>
      <c r="AV33" s="547" t="str">
        <f t="shared" si="7"/>
        <v/>
      </c>
      <c r="AW33" s="545" t="str">
        <f t="shared" si="8"/>
        <v/>
      </c>
      <c r="AX33" s="545" t="str">
        <f t="shared" si="9"/>
        <v>入力済</v>
      </c>
      <c r="AY33" s="547" t="str">
        <f>IFERROR(VLOOKUP(K33,【参考】数式用!$AR$3:$AS$49, 2, FALSE), "")</f>
        <v/>
      </c>
      <c r="AZ33" s="545" t="str">
        <f t="shared" si="10"/>
        <v/>
      </c>
      <c r="BA33" s="548" t="str">
        <f t="shared" si="21"/>
        <v>入力済</v>
      </c>
      <c r="BB33" s="547" t="str">
        <f>IFERROR(VLOOKUP(K33,【参考】数式用!$AX$3:$AY$56, 2, FALSE), "")</f>
        <v/>
      </c>
      <c r="BC33" s="545" t="str">
        <f t="shared" si="11"/>
        <v/>
      </c>
      <c r="BD33" s="548" t="str">
        <f t="shared" si="22"/>
        <v>入力済</v>
      </c>
      <c r="BE33" s="548" t="str">
        <f t="shared" si="12"/>
        <v/>
      </c>
      <c r="BF33" s="548" t="str">
        <f t="shared" si="13"/>
        <v/>
      </c>
      <c r="BG33" s="548" t="str">
        <f t="shared" si="14"/>
        <v/>
      </c>
      <c r="BH33" s="548" t="str">
        <f t="shared" si="15"/>
        <v/>
      </c>
      <c r="BI33" s="548" t="str">
        <f t="shared" si="16"/>
        <v/>
      </c>
      <c r="BM33" s="634" t="e">
        <f>VLOOKUP(K33,【参考】数式用!$A$2:$O$57,15,FALSE)</f>
        <v>#N/A</v>
      </c>
    </row>
    <row r="34" spans="1:65" s="550" customFormat="1" ht="109.9" customHeight="1" thickBot="1">
      <c r="A34" s="454">
        <v>23</v>
      </c>
      <c r="B34" s="933" t="str">
        <f>IF(基本情報入力シート!B62="","",基本情報入力シート!B62)</f>
        <v/>
      </c>
      <c r="C34" s="934"/>
      <c r="D34" s="934"/>
      <c r="E34" s="934"/>
      <c r="F34" s="935"/>
      <c r="G34" s="455" t="str">
        <f>IF(基本情報入力シート!L62="", "", 基本情報入力シート!L62)</f>
        <v/>
      </c>
      <c r="H34" s="455" t="str">
        <f>IF(基本情報入力シート!Q62="", "", 基本情報入力シート!Q62)</f>
        <v/>
      </c>
      <c r="I34" s="455" t="str">
        <f>IF(基本情報入力シート!V62="", "", 基本情報入力シート!V62)</f>
        <v/>
      </c>
      <c r="J34" s="455" t="str">
        <f>IF(基本情報入力シート!W62="", "", 基本情報入力シート!W62)</f>
        <v/>
      </c>
      <c r="K34" s="455" t="str">
        <f>IF(基本情報入力シート!Z62="", "", 基本情報入力シート!Z62)</f>
        <v/>
      </c>
      <c r="L34" s="101" t="str">
        <f>IF(基本情報入力シート!AF62=0, "",基本情報入力シート!AF62)</f>
        <v/>
      </c>
      <c r="M34" s="142" t="str">
        <f>IF(AND(基本情報入力シート!AG62="",基本情報入力シート!AG62=""), "", 基本情報入力シート!AG62)</f>
        <v/>
      </c>
      <c r="N34" s="136"/>
      <c r="O34" s="155" t="str">
        <f>IFERROR(VLOOKUP(K34,【参考】数式用!$A$2:$M$57,MATCH(N34,【参考】数式用!$G$3:$M$3,0)+6,0),"")</f>
        <v/>
      </c>
      <c r="P34" s="456" t="s">
        <v>180</v>
      </c>
      <c r="Q34" s="141"/>
      <c r="R34" s="457" t="s">
        <v>271</v>
      </c>
      <c r="S34" s="141"/>
      <c r="T34" s="457" t="s">
        <v>272</v>
      </c>
      <c r="U34" s="141"/>
      <c r="V34" s="457" t="s">
        <v>271</v>
      </c>
      <c r="W34" s="141"/>
      <c r="X34" s="457" t="s">
        <v>182</v>
      </c>
      <c r="Y34" s="457" t="s">
        <v>274</v>
      </c>
      <c r="Z34" s="457" t="str">
        <f t="shared" si="0"/>
        <v/>
      </c>
      <c r="AA34" s="458" t="s">
        <v>275</v>
      </c>
      <c r="AB34" s="459" t="str">
        <f t="shared" si="1"/>
        <v/>
      </c>
      <c r="AC34" s="460" t="str">
        <f>IFERROR(ROUNDDOWN(ROUNDDOWN(ROUND(L34*VLOOKUP(K34,【参考】数式用!$A$2:$M$57,MATCH("処遇改善加算Ⅳ",【参考】数式用!$G$3:$M$3,0)+6,0),0)*M34,0)*Z34*0.5,0), "")</f>
        <v/>
      </c>
      <c r="AD34" s="156"/>
      <c r="AE34" s="157"/>
      <c r="AF34" s="157"/>
      <c r="AG34" s="158"/>
      <c r="AH34" s="159"/>
      <c r="AI34" s="160"/>
      <c r="AJ34" s="161"/>
      <c r="AK34" s="542" t="str">
        <f t="shared" si="17"/>
        <v/>
      </c>
      <c r="AL34" s="543" t="str">
        <f t="shared" si="2"/>
        <v/>
      </c>
      <c r="AM34" s="544"/>
      <c r="AN34" s="545" t="str">
        <f>IFERROR(VLOOKUP(K34,【参考】数式用!$A$2:$N$57,14,FALSE),"")</f>
        <v/>
      </c>
      <c r="AO34" s="545" t="str">
        <f t="shared" si="3"/>
        <v/>
      </c>
      <c r="AP34" s="546" t="str">
        <f t="shared" si="18"/>
        <v/>
      </c>
      <c r="AQ34" s="546" t="str">
        <f t="shared" si="19"/>
        <v>キャリアパス要件Ⅰ・Ⅱ_</v>
      </c>
      <c r="AR34" s="547" t="str">
        <f t="shared" si="20"/>
        <v>入力済</v>
      </c>
      <c r="AS34" s="545" t="str">
        <f t="shared" si="4"/>
        <v/>
      </c>
      <c r="AT34" s="547" t="str">
        <f t="shared" si="5"/>
        <v>入力済</v>
      </c>
      <c r="AU34" s="547" t="str">
        <f t="shared" si="6"/>
        <v/>
      </c>
      <c r="AV34" s="547" t="str">
        <f t="shared" si="7"/>
        <v/>
      </c>
      <c r="AW34" s="545" t="str">
        <f t="shared" si="8"/>
        <v/>
      </c>
      <c r="AX34" s="545" t="str">
        <f t="shared" si="9"/>
        <v>入力済</v>
      </c>
      <c r="AY34" s="547" t="str">
        <f>IFERROR(VLOOKUP(K34,【参考】数式用!$AR$3:$AS$49, 2, FALSE), "")</f>
        <v/>
      </c>
      <c r="AZ34" s="545" t="str">
        <f t="shared" si="10"/>
        <v/>
      </c>
      <c r="BA34" s="548" t="str">
        <f t="shared" si="21"/>
        <v>入力済</v>
      </c>
      <c r="BB34" s="547" t="str">
        <f>IFERROR(VLOOKUP(K34,【参考】数式用!$AX$3:$AY$56, 2, FALSE), "")</f>
        <v/>
      </c>
      <c r="BC34" s="545" t="str">
        <f t="shared" si="11"/>
        <v/>
      </c>
      <c r="BD34" s="548" t="str">
        <f t="shared" si="22"/>
        <v>入力済</v>
      </c>
      <c r="BE34" s="548" t="str">
        <f t="shared" si="12"/>
        <v/>
      </c>
      <c r="BF34" s="548" t="str">
        <f t="shared" si="13"/>
        <v/>
      </c>
      <c r="BG34" s="548" t="str">
        <f t="shared" si="14"/>
        <v/>
      </c>
      <c r="BH34" s="548" t="str">
        <f t="shared" si="15"/>
        <v/>
      </c>
      <c r="BI34" s="548" t="str">
        <f t="shared" si="16"/>
        <v/>
      </c>
      <c r="BM34" s="634" t="e">
        <f>VLOOKUP(K34,【参考】数式用!$A$2:$O$57,15,FALSE)</f>
        <v>#N/A</v>
      </c>
    </row>
    <row r="35" spans="1:65" s="550" customFormat="1" ht="109.9" customHeight="1" thickBot="1">
      <c r="A35" s="454">
        <v>24</v>
      </c>
      <c r="B35" s="933" t="str">
        <f>IF(基本情報入力シート!B63="","",基本情報入力シート!B63)</f>
        <v/>
      </c>
      <c r="C35" s="934"/>
      <c r="D35" s="934"/>
      <c r="E35" s="934"/>
      <c r="F35" s="935"/>
      <c r="G35" s="455" t="str">
        <f>IF(基本情報入力シート!L63="", "", 基本情報入力シート!L63)</f>
        <v/>
      </c>
      <c r="H35" s="455" t="str">
        <f>IF(基本情報入力シート!Q63="", "", 基本情報入力シート!Q63)</f>
        <v/>
      </c>
      <c r="I35" s="455" t="str">
        <f>IF(基本情報入力シート!V63="", "", 基本情報入力シート!V63)</f>
        <v/>
      </c>
      <c r="J35" s="455" t="str">
        <f>IF(基本情報入力シート!W63="", "", 基本情報入力シート!W63)</f>
        <v/>
      </c>
      <c r="K35" s="455" t="str">
        <f>IF(基本情報入力シート!Z63="", "", 基本情報入力シート!Z63)</f>
        <v/>
      </c>
      <c r="L35" s="101" t="str">
        <f>IF(基本情報入力シート!AF63=0, "",基本情報入力シート!AF63)</f>
        <v/>
      </c>
      <c r="M35" s="142" t="str">
        <f>IF(AND(基本情報入力シート!AG63="",基本情報入力シート!AG63=""), "", 基本情報入力シート!AG63)</f>
        <v/>
      </c>
      <c r="N35" s="136"/>
      <c r="O35" s="155" t="str">
        <f>IFERROR(VLOOKUP(K35,【参考】数式用!$A$2:$M$57,MATCH(N35,【参考】数式用!$G$3:$M$3,0)+6,0),"")</f>
        <v/>
      </c>
      <c r="P35" s="456" t="s">
        <v>180</v>
      </c>
      <c r="Q35" s="141"/>
      <c r="R35" s="457" t="s">
        <v>271</v>
      </c>
      <c r="S35" s="141"/>
      <c r="T35" s="457" t="s">
        <v>272</v>
      </c>
      <c r="U35" s="141"/>
      <c r="V35" s="457" t="s">
        <v>271</v>
      </c>
      <c r="W35" s="141"/>
      <c r="X35" s="457" t="s">
        <v>182</v>
      </c>
      <c r="Y35" s="457" t="s">
        <v>274</v>
      </c>
      <c r="Z35" s="457" t="str">
        <f t="shared" si="0"/>
        <v/>
      </c>
      <c r="AA35" s="458" t="s">
        <v>275</v>
      </c>
      <c r="AB35" s="459" t="str">
        <f t="shared" si="1"/>
        <v/>
      </c>
      <c r="AC35" s="460" t="str">
        <f>IFERROR(ROUNDDOWN(ROUNDDOWN(ROUND(L35*VLOOKUP(K35,【参考】数式用!$A$2:$M$57,MATCH("処遇改善加算Ⅳ",【参考】数式用!$G$3:$M$3,0)+6,0),0)*M35,0)*Z35*0.5,0), "")</f>
        <v/>
      </c>
      <c r="AD35" s="156"/>
      <c r="AE35" s="157"/>
      <c r="AF35" s="157"/>
      <c r="AG35" s="158"/>
      <c r="AH35" s="159"/>
      <c r="AI35" s="160"/>
      <c r="AJ35" s="161"/>
      <c r="AK35" s="542" t="str">
        <f t="shared" si="17"/>
        <v/>
      </c>
      <c r="AL35" s="543" t="str">
        <f t="shared" si="2"/>
        <v/>
      </c>
      <c r="AM35" s="544"/>
      <c r="AN35" s="545" t="str">
        <f>IFERROR(VLOOKUP(K35,【参考】数式用!$A$2:$N$57,14,FALSE),"")</f>
        <v/>
      </c>
      <c r="AO35" s="545" t="str">
        <f t="shared" si="3"/>
        <v/>
      </c>
      <c r="AP35" s="546" t="str">
        <f t="shared" si="18"/>
        <v/>
      </c>
      <c r="AQ35" s="546" t="str">
        <f t="shared" si="19"/>
        <v>キャリアパス要件Ⅰ・Ⅱ_</v>
      </c>
      <c r="AR35" s="547" t="str">
        <f t="shared" si="20"/>
        <v>入力済</v>
      </c>
      <c r="AS35" s="545" t="str">
        <f t="shared" si="4"/>
        <v/>
      </c>
      <c r="AT35" s="547" t="str">
        <f t="shared" si="5"/>
        <v>入力済</v>
      </c>
      <c r="AU35" s="547" t="str">
        <f t="shared" si="6"/>
        <v/>
      </c>
      <c r="AV35" s="547" t="str">
        <f t="shared" si="7"/>
        <v/>
      </c>
      <c r="AW35" s="545" t="str">
        <f t="shared" si="8"/>
        <v/>
      </c>
      <c r="AX35" s="545" t="str">
        <f t="shared" si="9"/>
        <v>入力済</v>
      </c>
      <c r="AY35" s="547" t="str">
        <f>IFERROR(VLOOKUP(K35,【参考】数式用!$AR$3:$AS$49, 2, FALSE), "")</f>
        <v/>
      </c>
      <c r="AZ35" s="545" t="str">
        <f t="shared" si="10"/>
        <v/>
      </c>
      <c r="BA35" s="548" t="str">
        <f t="shared" si="21"/>
        <v>入力済</v>
      </c>
      <c r="BB35" s="547" t="str">
        <f>IFERROR(VLOOKUP(K35,【参考】数式用!$AX$3:$AY$56, 2, FALSE), "")</f>
        <v/>
      </c>
      <c r="BC35" s="545" t="str">
        <f t="shared" si="11"/>
        <v/>
      </c>
      <c r="BD35" s="548" t="str">
        <f t="shared" si="22"/>
        <v>入力済</v>
      </c>
      <c r="BE35" s="548" t="str">
        <f t="shared" si="12"/>
        <v/>
      </c>
      <c r="BF35" s="548" t="str">
        <f t="shared" si="13"/>
        <v/>
      </c>
      <c r="BG35" s="548" t="str">
        <f t="shared" si="14"/>
        <v/>
      </c>
      <c r="BH35" s="548" t="str">
        <f t="shared" si="15"/>
        <v/>
      </c>
      <c r="BI35" s="548" t="str">
        <f t="shared" si="16"/>
        <v/>
      </c>
      <c r="BM35" s="634" t="e">
        <f>VLOOKUP(K35,【参考】数式用!$A$2:$O$57,15,FALSE)</f>
        <v>#N/A</v>
      </c>
    </row>
    <row r="36" spans="1:65" s="550" customFormat="1" ht="109.9" customHeight="1" thickBot="1">
      <c r="A36" s="454">
        <v>25</v>
      </c>
      <c r="B36" s="933" t="str">
        <f>IF(基本情報入力シート!B64="","",基本情報入力シート!B64)</f>
        <v/>
      </c>
      <c r="C36" s="934"/>
      <c r="D36" s="934"/>
      <c r="E36" s="934"/>
      <c r="F36" s="935"/>
      <c r="G36" s="455" t="str">
        <f>IF(基本情報入力シート!L64="", "", 基本情報入力シート!L64)</f>
        <v/>
      </c>
      <c r="H36" s="455" t="str">
        <f>IF(基本情報入力シート!Q64="", "", 基本情報入力シート!Q64)</f>
        <v/>
      </c>
      <c r="I36" s="455" t="str">
        <f>IF(基本情報入力シート!V64="", "", 基本情報入力シート!V64)</f>
        <v/>
      </c>
      <c r="J36" s="455" t="str">
        <f>IF(基本情報入力シート!W64="", "", 基本情報入力シート!W64)</f>
        <v/>
      </c>
      <c r="K36" s="455" t="str">
        <f>IF(基本情報入力シート!Z64="", "", 基本情報入力シート!Z64)</f>
        <v/>
      </c>
      <c r="L36" s="101" t="str">
        <f>IF(基本情報入力シート!AF64=0, "",基本情報入力シート!AF64)</f>
        <v/>
      </c>
      <c r="M36" s="142" t="str">
        <f>IF(AND(基本情報入力シート!AG64="",基本情報入力シート!AG64=""), "", 基本情報入力シート!AG64)</f>
        <v/>
      </c>
      <c r="N36" s="136"/>
      <c r="O36" s="155" t="str">
        <f>IFERROR(VLOOKUP(K36,【参考】数式用!$A$2:$M$57,MATCH(N36,【参考】数式用!$G$3:$M$3,0)+6,0),"")</f>
        <v/>
      </c>
      <c r="P36" s="456" t="s">
        <v>180</v>
      </c>
      <c r="Q36" s="141"/>
      <c r="R36" s="457" t="s">
        <v>271</v>
      </c>
      <c r="S36" s="141"/>
      <c r="T36" s="457" t="s">
        <v>272</v>
      </c>
      <c r="U36" s="141"/>
      <c r="V36" s="457" t="s">
        <v>271</v>
      </c>
      <c r="W36" s="141"/>
      <c r="X36" s="457" t="s">
        <v>273</v>
      </c>
      <c r="Y36" s="457" t="s">
        <v>274</v>
      </c>
      <c r="Z36" s="457" t="str">
        <f t="shared" si="0"/>
        <v/>
      </c>
      <c r="AA36" s="458" t="s">
        <v>275</v>
      </c>
      <c r="AB36" s="459" t="str">
        <f t="shared" si="1"/>
        <v/>
      </c>
      <c r="AC36" s="460" t="str">
        <f>IFERROR(ROUNDDOWN(ROUNDDOWN(ROUND(L36*VLOOKUP(K36,【参考】数式用!$A$2:$M$57,MATCH("処遇改善加算Ⅳ",【参考】数式用!$G$3:$M$3,0)+6,0),0)*M36,0)*Z36*0.5,0), "")</f>
        <v/>
      </c>
      <c r="AD36" s="156"/>
      <c r="AE36" s="157"/>
      <c r="AF36" s="157"/>
      <c r="AG36" s="158"/>
      <c r="AH36" s="159"/>
      <c r="AI36" s="160"/>
      <c r="AJ36" s="161"/>
      <c r="AK36" s="542" t="str">
        <f t="shared" si="17"/>
        <v/>
      </c>
      <c r="AL36" s="543" t="str">
        <f t="shared" si="2"/>
        <v/>
      </c>
      <c r="AM36" s="544"/>
      <c r="AN36" s="545" t="str">
        <f>IFERROR(VLOOKUP(K36,【参考】数式用!$A$2:$N$57,14,FALSE),"")</f>
        <v/>
      </c>
      <c r="AO36" s="545" t="str">
        <f t="shared" si="3"/>
        <v/>
      </c>
      <c r="AP36" s="546" t="str">
        <f t="shared" si="18"/>
        <v/>
      </c>
      <c r="AQ36" s="546" t="str">
        <f t="shared" si="19"/>
        <v>キャリアパス要件Ⅰ・Ⅱ_</v>
      </c>
      <c r="AR36" s="547" t="str">
        <f t="shared" si="20"/>
        <v>入力済</v>
      </c>
      <c r="AS36" s="545" t="str">
        <f t="shared" si="4"/>
        <v/>
      </c>
      <c r="AT36" s="547" t="str">
        <f t="shared" si="5"/>
        <v>入力済</v>
      </c>
      <c r="AU36" s="547" t="str">
        <f t="shared" si="6"/>
        <v/>
      </c>
      <c r="AV36" s="547" t="str">
        <f t="shared" si="7"/>
        <v/>
      </c>
      <c r="AW36" s="545" t="str">
        <f t="shared" si="8"/>
        <v/>
      </c>
      <c r="AX36" s="545" t="str">
        <f t="shared" si="9"/>
        <v>入力済</v>
      </c>
      <c r="AY36" s="547" t="str">
        <f>IFERROR(VLOOKUP(K36,【参考】数式用!$AR$3:$AS$49, 2, FALSE), "")</f>
        <v/>
      </c>
      <c r="AZ36" s="545" t="str">
        <f t="shared" si="10"/>
        <v/>
      </c>
      <c r="BA36" s="548" t="str">
        <f t="shared" si="21"/>
        <v>入力済</v>
      </c>
      <c r="BB36" s="547" t="str">
        <f>IFERROR(VLOOKUP(K36,【参考】数式用!$AX$3:$AY$56, 2, FALSE), "")</f>
        <v/>
      </c>
      <c r="BC36" s="545" t="str">
        <f t="shared" si="11"/>
        <v/>
      </c>
      <c r="BD36" s="548" t="str">
        <f t="shared" si="22"/>
        <v>入力済</v>
      </c>
      <c r="BE36" s="548" t="str">
        <f t="shared" si="12"/>
        <v/>
      </c>
      <c r="BF36" s="548" t="str">
        <f t="shared" si="13"/>
        <v/>
      </c>
      <c r="BG36" s="548" t="str">
        <f t="shared" si="14"/>
        <v/>
      </c>
      <c r="BH36" s="548" t="str">
        <f t="shared" si="15"/>
        <v/>
      </c>
      <c r="BI36" s="548" t="str">
        <f t="shared" si="16"/>
        <v/>
      </c>
      <c r="BM36" s="634" t="e">
        <f>VLOOKUP(K36,【参考】数式用!$A$2:$O$57,15,FALSE)</f>
        <v>#N/A</v>
      </c>
    </row>
    <row r="37" spans="1:65" s="550" customFormat="1" ht="109.9" customHeight="1" thickBot="1">
      <c r="A37" s="454">
        <v>26</v>
      </c>
      <c r="B37" s="933" t="str">
        <f>IF(基本情報入力シート!B65="","",基本情報入力シート!B65)</f>
        <v/>
      </c>
      <c r="C37" s="934"/>
      <c r="D37" s="934"/>
      <c r="E37" s="934"/>
      <c r="F37" s="935"/>
      <c r="G37" s="455" t="str">
        <f>IF(基本情報入力シート!L65="", "", 基本情報入力シート!L65)</f>
        <v/>
      </c>
      <c r="H37" s="455" t="str">
        <f>IF(基本情報入力シート!Q65="", "", 基本情報入力シート!Q65)</f>
        <v/>
      </c>
      <c r="I37" s="455" t="str">
        <f>IF(基本情報入力シート!V65="", "", 基本情報入力シート!V65)</f>
        <v/>
      </c>
      <c r="J37" s="455" t="str">
        <f>IF(基本情報入力シート!W65="", "", 基本情報入力シート!W65)</f>
        <v/>
      </c>
      <c r="K37" s="455" t="str">
        <f>IF(基本情報入力シート!Z65="", "", 基本情報入力シート!Z65)</f>
        <v/>
      </c>
      <c r="L37" s="101" t="str">
        <f>IF(基本情報入力シート!AF65=0, "",基本情報入力シート!AF65)</f>
        <v/>
      </c>
      <c r="M37" s="142" t="str">
        <f>IF(AND(基本情報入力シート!AG65="",基本情報入力シート!AG65=""), "", 基本情報入力シート!AG65)</f>
        <v/>
      </c>
      <c r="N37" s="136"/>
      <c r="O37" s="155" t="str">
        <f>IFERROR(VLOOKUP(K37,【参考】数式用!$A$2:$M$57,MATCH(N37,【参考】数式用!$G$3:$M$3,0)+6,0),"")</f>
        <v/>
      </c>
      <c r="P37" s="456" t="s">
        <v>180</v>
      </c>
      <c r="Q37" s="141"/>
      <c r="R37" s="457" t="s">
        <v>271</v>
      </c>
      <c r="S37" s="141"/>
      <c r="T37" s="457" t="s">
        <v>272</v>
      </c>
      <c r="U37" s="141"/>
      <c r="V37" s="457" t="s">
        <v>271</v>
      </c>
      <c r="W37" s="141"/>
      <c r="X37" s="457" t="s">
        <v>273</v>
      </c>
      <c r="Y37" s="457" t="s">
        <v>274</v>
      </c>
      <c r="Z37" s="457" t="str">
        <f t="shared" si="0"/>
        <v/>
      </c>
      <c r="AA37" s="458" t="s">
        <v>275</v>
      </c>
      <c r="AB37" s="459" t="str">
        <f t="shared" si="1"/>
        <v/>
      </c>
      <c r="AC37" s="460" t="str">
        <f>IFERROR(ROUNDDOWN(ROUNDDOWN(ROUND(L37*VLOOKUP(K37,【参考】数式用!$A$2:$M$57,MATCH("処遇改善加算Ⅳ",【参考】数式用!$G$3:$M$3,0)+6,0),0)*M37,0)*Z37*0.5,0), "")</f>
        <v/>
      </c>
      <c r="AD37" s="156"/>
      <c r="AE37" s="157"/>
      <c r="AF37" s="157"/>
      <c r="AG37" s="158"/>
      <c r="AH37" s="159"/>
      <c r="AI37" s="160"/>
      <c r="AJ37" s="161"/>
      <c r="AK37" s="542" t="str">
        <f t="shared" si="17"/>
        <v/>
      </c>
      <c r="AL37" s="543" t="str">
        <f t="shared" si="2"/>
        <v/>
      </c>
      <c r="AM37" s="544"/>
      <c r="AN37" s="545" t="str">
        <f>IFERROR(VLOOKUP(K37,【参考】数式用!$A$2:$N$57,14,FALSE),"")</f>
        <v/>
      </c>
      <c r="AO37" s="545" t="str">
        <f t="shared" si="3"/>
        <v/>
      </c>
      <c r="AP37" s="546" t="str">
        <f t="shared" si="18"/>
        <v/>
      </c>
      <c r="AQ37" s="546" t="str">
        <f t="shared" si="19"/>
        <v>キャリアパス要件Ⅰ・Ⅱ_</v>
      </c>
      <c r="AR37" s="547" t="str">
        <f t="shared" si="20"/>
        <v>入力済</v>
      </c>
      <c r="AS37" s="545" t="str">
        <f t="shared" si="4"/>
        <v/>
      </c>
      <c r="AT37" s="547" t="str">
        <f t="shared" si="5"/>
        <v>入力済</v>
      </c>
      <c r="AU37" s="547" t="str">
        <f t="shared" si="6"/>
        <v/>
      </c>
      <c r="AV37" s="547" t="str">
        <f t="shared" si="7"/>
        <v/>
      </c>
      <c r="AW37" s="545" t="str">
        <f t="shared" si="8"/>
        <v/>
      </c>
      <c r="AX37" s="545" t="str">
        <f t="shared" si="9"/>
        <v>入力済</v>
      </c>
      <c r="AY37" s="547" t="str">
        <f>IFERROR(VLOOKUP(K37,【参考】数式用!$AR$3:$AS$49, 2, FALSE), "")</f>
        <v/>
      </c>
      <c r="AZ37" s="545" t="str">
        <f t="shared" si="10"/>
        <v/>
      </c>
      <c r="BA37" s="548" t="str">
        <f t="shared" si="21"/>
        <v>入力済</v>
      </c>
      <c r="BB37" s="547" t="str">
        <f>IFERROR(VLOOKUP(K37,【参考】数式用!$AX$3:$AY$56, 2, FALSE), "")</f>
        <v/>
      </c>
      <c r="BC37" s="545" t="str">
        <f t="shared" si="11"/>
        <v/>
      </c>
      <c r="BD37" s="548" t="str">
        <f t="shared" si="22"/>
        <v>入力済</v>
      </c>
      <c r="BE37" s="548" t="str">
        <f t="shared" si="12"/>
        <v/>
      </c>
      <c r="BF37" s="548" t="str">
        <f t="shared" si="13"/>
        <v/>
      </c>
      <c r="BG37" s="548" t="str">
        <f t="shared" si="14"/>
        <v/>
      </c>
      <c r="BH37" s="548" t="str">
        <f t="shared" si="15"/>
        <v/>
      </c>
      <c r="BI37" s="548" t="str">
        <f t="shared" si="16"/>
        <v/>
      </c>
      <c r="BM37" s="634" t="e">
        <f>VLOOKUP(K37,【参考】数式用!$A$2:$O$57,15,FALSE)</f>
        <v>#N/A</v>
      </c>
    </row>
    <row r="38" spans="1:65" s="550" customFormat="1" ht="109.9" customHeight="1" thickBot="1">
      <c r="A38" s="454">
        <v>27</v>
      </c>
      <c r="B38" s="933" t="str">
        <f>IF(基本情報入力シート!B66="","",基本情報入力シート!B66)</f>
        <v/>
      </c>
      <c r="C38" s="934"/>
      <c r="D38" s="934"/>
      <c r="E38" s="934"/>
      <c r="F38" s="935"/>
      <c r="G38" s="455" t="str">
        <f>IF(基本情報入力シート!L66="", "", 基本情報入力シート!L66)</f>
        <v/>
      </c>
      <c r="H38" s="455" t="str">
        <f>IF(基本情報入力シート!Q66="", "", 基本情報入力シート!Q66)</f>
        <v/>
      </c>
      <c r="I38" s="455" t="str">
        <f>IF(基本情報入力シート!V66="", "", 基本情報入力シート!V66)</f>
        <v/>
      </c>
      <c r="J38" s="455" t="str">
        <f>IF(基本情報入力シート!W66="", "", 基本情報入力シート!W66)</f>
        <v/>
      </c>
      <c r="K38" s="455" t="str">
        <f>IF(基本情報入力シート!Z66="", "", 基本情報入力シート!Z66)</f>
        <v/>
      </c>
      <c r="L38" s="101" t="str">
        <f>IF(基本情報入力シート!AF66=0, "",基本情報入力シート!AF66)</f>
        <v/>
      </c>
      <c r="M38" s="142" t="str">
        <f>IF(AND(基本情報入力シート!AG66="",基本情報入力シート!AG66=""), "", 基本情報入力シート!AG66)</f>
        <v/>
      </c>
      <c r="N38" s="136"/>
      <c r="O38" s="155" t="str">
        <f>IFERROR(VLOOKUP(K38,【参考】数式用!$A$2:$M$57,MATCH(N38,【参考】数式用!$G$3:$M$3,0)+6,0),"")</f>
        <v/>
      </c>
      <c r="P38" s="456" t="s">
        <v>180</v>
      </c>
      <c r="Q38" s="141"/>
      <c r="R38" s="457" t="s">
        <v>271</v>
      </c>
      <c r="S38" s="141"/>
      <c r="T38" s="457" t="s">
        <v>272</v>
      </c>
      <c r="U38" s="141"/>
      <c r="V38" s="457" t="s">
        <v>271</v>
      </c>
      <c r="W38" s="141"/>
      <c r="X38" s="457" t="s">
        <v>273</v>
      </c>
      <c r="Y38" s="457" t="s">
        <v>274</v>
      </c>
      <c r="Z38" s="457" t="str">
        <f t="shared" si="0"/>
        <v/>
      </c>
      <c r="AA38" s="458" t="s">
        <v>275</v>
      </c>
      <c r="AB38" s="459" t="str">
        <f t="shared" si="1"/>
        <v/>
      </c>
      <c r="AC38" s="460" t="str">
        <f>IFERROR(ROUNDDOWN(ROUNDDOWN(ROUND(L38*VLOOKUP(K38,【参考】数式用!$A$2:$M$57,MATCH("処遇改善加算Ⅳ",【参考】数式用!$G$3:$M$3,0)+6,0),0)*M38,0)*Z38*0.5,0), "")</f>
        <v/>
      </c>
      <c r="AD38" s="156"/>
      <c r="AE38" s="157"/>
      <c r="AF38" s="157"/>
      <c r="AG38" s="158"/>
      <c r="AH38" s="159"/>
      <c r="AI38" s="160"/>
      <c r="AJ38" s="161"/>
      <c r="AK38" s="542" t="str">
        <f t="shared" si="17"/>
        <v/>
      </c>
      <c r="AL38" s="543" t="str">
        <f t="shared" si="2"/>
        <v/>
      </c>
      <c r="AM38" s="544"/>
      <c r="AN38" s="545" t="str">
        <f>IFERROR(VLOOKUP(K38,【参考】数式用!$A$2:$N$57,14,FALSE),"")</f>
        <v/>
      </c>
      <c r="AO38" s="545" t="str">
        <f t="shared" si="3"/>
        <v/>
      </c>
      <c r="AP38" s="546" t="str">
        <f t="shared" si="18"/>
        <v/>
      </c>
      <c r="AQ38" s="546" t="str">
        <f t="shared" si="19"/>
        <v>キャリアパス要件Ⅰ・Ⅱ_</v>
      </c>
      <c r="AR38" s="547" t="str">
        <f t="shared" si="20"/>
        <v>入力済</v>
      </c>
      <c r="AS38" s="545" t="str">
        <f t="shared" si="4"/>
        <v/>
      </c>
      <c r="AT38" s="547" t="str">
        <f t="shared" si="5"/>
        <v>入力済</v>
      </c>
      <c r="AU38" s="547" t="str">
        <f t="shared" si="6"/>
        <v/>
      </c>
      <c r="AV38" s="547" t="str">
        <f t="shared" si="7"/>
        <v/>
      </c>
      <c r="AW38" s="545" t="str">
        <f t="shared" si="8"/>
        <v/>
      </c>
      <c r="AX38" s="545" t="str">
        <f t="shared" si="9"/>
        <v>入力済</v>
      </c>
      <c r="AY38" s="547" t="str">
        <f>IFERROR(VLOOKUP(K38,【参考】数式用!$AR$3:$AS$49, 2, FALSE), "")</f>
        <v/>
      </c>
      <c r="AZ38" s="545" t="str">
        <f t="shared" si="10"/>
        <v/>
      </c>
      <c r="BA38" s="548" t="str">
        <f t="shared" si="21"/>
        <v>入力済</v>
      </c>
      <c r="BB38" s="547" t="str">
        <f>IFERROR(VLOOKUP(K38,【参考】数式用!$AX$3:$AY$56, 2, FALSE), "")</f>
        <v/>
      </c>
      <c r="BC38" s="545" t="str">
        <f t="shared" si="11"/>
        <v/>
      </c>
      <c r="BD38" s="548" t="str">
        <f t="shared" si="22"/>
        <v>入力済</v>
      </c>
      <c r="BE38" s="548" t="str">
        <f t="shared" si="12"/>
        <v/>
      </c>
      <c r="BF38" s="548" t="str">
        <f t="shared" si="13"/>
        <v/>
      </c>
      <c r="BG38" s="548" t="str">
        <f t="shared" si="14"/>
        <v/>
      </c>
      <c r="BH38" s="548" t="str">
        <f t="shared" si="15"/>
        <v/>
      </c>
      <c r="BI38" s="548" t="str">
        <f t="shared" si="16"/>
        <v/>
      </c>
      <c r="BM38" s="634" t="e">
        <f>VLOOKUP(K38,【参考】数式用!$A$2:$O$57,15,FALSE)</f>
        <v>#N/A</v>
      </c>
    </row>
    <row r="39" spans="1:65" s="550" customFormat="1" ht="109.9" customHeight="1" thickBot="1">
      <c r="A39" s="454">
        <v>28</v>
      </c>
      <c r="B39" s="933" t="str">
        <f>IF(基本情報入力シート!B67="","",基本情報入力シート!B67)</f>
        <v/>
      </c>
      <c r="C39" s="934"/>
      <c r="D39" s="934"/>
      <c r="E39" s="934"/>
      <c r="F39" s="935"/>
      <c r="G39" s="455" t="str">
        <f>IF(基本情報入力シート!L67="", "", 基本情報入力シート!L67)</f>
        <v/>
      </c>
      <c r="H39" s="455" t="str">
        <f>IF(基本情報入力シート!Q67="", "", 基本情報入力シート!Q67)</f>
        <v/>
      </c>
      <c r="I39" s="455" t="str">
        <f>IF(基本情報入力シート!V67="", "", 基本情報入力シート!V67)</f>
        <v/>
      </c>
      <c r="J39" s="455" t="str">
        <f>IF(基本情報入力シート!W67="", "", 基本情報入力シート!W67)</f>
        <v/>
      </c>
      <c r="K39" s="455" t="str">
        <f>IF(基本情報入力シート!Z67="", "", 基本情報入力シート!Z67)</f>
        <v/>
      </c>
      <c r="L39" s="101" t="str">
        <f>IF(基本情報入力シート!AF67=0, "",基本情報入力シート!AF67)</f>
        <v/>
      </c>
      <c r="M39" s="142" t="str">
        <f>IF(AND(基本情報入力シート!AG67="",基本情報入力シート!AG67=""), "", 基本情報入力シート!AG67)</f>
        <v/>
      </c>
      <c r="N39" s="136"/>
      <c r="O39" s="155" t="str">
        <f>IFERROR(VLOOKUP(K39,【参考】数式用!$A$2:$M$57,MATCH(N39,【参考】数式用!$G$3:$M$3,0)+6,0),"")</f>
        <v/>
      </c>
      <c r="P39" s="456" t="s">
        <v>180</v>
      </c>
      <c r="Q39" s="141"/>
      <c r="R39" s="457" t="s">
        <v>271</v>
      </c>
      <c r="S39" s="141"/>
      <c r="T39" s="457" t="s">
        <v>272</v>
      </c>
      <c r="U39" s="141"/>
      <c r="V39" s="457" t="s">
        <v>271</v>
      </c>
      <c r="W39" s="141"/>
      <c r="X39" s="457" t="s">
        <v>182</v>
      </c>
      <c r="Y39" s="457" t="s">
        <v>274</v>
      </c>
      <c r="Z39" s="457" t="str">
        <f t="shared" si="0"/>
        <v/>
      </c>
      <c r="AA39" s="458" t="s">
        <v>275</v>
      </c>
      <c r="AB39" s="459" t="str">
        <f t="shared" si="1"/>
        <v/>
      </c>
      <c r="AC39" s="460" t="str">
        <f>IFERROR(ROUNDDOWN(ROUNDDOWN(ROUND(L39*VLOOKUP(K39,【参考】数式用!$A$2:$M$57,MATCH("処遇改善加算Ⅳ",【参考】数式用!$G$3:$M$3,0)+6,0),0)*M39,0)*Z39*0.5,0), "")</f>
        <v/>
      </c>
      <c r="AD39" s="156"/>
      <c r="AE39" s="157"/>
      <c r="AF39" s="157"/>
      <c r="AG39" s="158"/>
      <c r="AH39" s="159"/>
      <c r="AI39" s="160"/>
      <c r="AJ39" s="161"/>
      <c r="AK39" s="542" t="str">
        <f t="shared" si="17"/>
        <v/>
      </c>
      <c r="AL39" s="543" t="str">
        <f t="shared" si="2"/>
        <v/>
      </c>
      <c r="AM39" s="544"/>
      <c r="AN39" s="545" t="str">
        <f>IFERROR(VLOOKUP(K39,【参考】数式用!$A$2:$N$57,14,FALSE),"")</f>
        <v/>
      </c>
      <c r="AO39" s="545" t="str">
        <f t="shared" si="3"/>
        <v/>
      </c>
      <c r="AP39" s="546" t="str">
        <f t="shared" si="18"/>
        <v/>
      </c>
      <c r="AQ39" s="546" t="str">
        <f t="shared" si="19"/>
        <v>キャリアパス要件Ⅰ・Ⅱ_</v>
      </c>
      <c r="AR39" s="547" t="str">
        <f t="shared" si="20"/>
        <v>入力済</v>
      </c>
      <c r="AS39" s="545" t="str">
        <f t="shared" si="4"/>
        <v/>
      </c>
      <c r="AT39" s="547" t="str">
        <f t="shared" si="5"/>
        <v>入力済</v>
      </c>
      <c r="AU39" s="547" t="str">
        <f t="shared" si="6"/>
        <v/>
      </c>
      <c r="AV39" s="547" t="str">
        <f t="shared" si="7"/>
        <v/>
      </c>
      <c r="AW39" s="545" t="str">
        <f t="shared" si="8"/>
        <v/>
      </c>
      <c r="AX39" s="545" t="str">
        <f t="shared" si="9"/>
        <v>入力済</v>
      </c>
      <c r="AY39" s="547" t="str">
        <f>IFERROR(VLOOKUP(K39,【参考】数式用!$AR$3:$AS$49, 2, FALSE), "")</f>
        <v/>
      </c>
      <c r="AZ39" s="545" t="str">
        <f t="shared" si="10"/>
        <v/>
      </c>
      <c r="BA39" s="548" t="str">
        <f t="shared" si="21"/>
        <v>入力済</v>
      </c>
      <c r="BB39" s="547" t="str">
        <f>IFERROR(VLOOKUP(K39,【参考】数式用!$AX$3:$AY$56, 2, FALSE), "")</f>
        <v/>
      </c>
      <c r="BC39" s="545" t="str">
        <f t="shared" si="11"/>
        <v/>
      </c>
      <c r="BD39" s="548" t="str">
        <f t="shared" si="22"/>
        <v>入力済</v>
      </c>
      <c r="BE39" s="548" t="str">
        <f t="shared" si="12"/>
        <v/>
      </c>
      <c r="BF39" s="548" t="str">
        <f t="shared" si="13"/>
        <v/>
      </c>
      <c r="BG39" s="548" t="str">
        <f t="shared" si="14"/>
        <v/>
      </c>
      <c r="BH39" s="548" t="str">
        <f t="shared" si="15"/>
        <v/>
      </c>
      <c r="BI39" s="548" t="str">
        <f t="shared" si="16"/>
        <v/>
      </c>
      <c r="BM39" s="634" t="e">
        <f>VLOOKUP(K39,【参考】数式用!$A$2:$O$57,15,FALSE)</f>
        <v>#N/A</v>
      </c>
    </row>
    <row r="40" spans="1:65" s="550" customFormat="1" ht="109.9" customHeight="1" thickBot="1">
      <c r="A40" s="454">
        <v>29</v>
      </c>
      <c r="B40" s="933" t="str">
        <f>IF(基本情報入力シート!B68="","",基本情報入力シート!B68)</f>
        <v/>
      </c>
      <c r="C40" s="934"/>
      <c r="D40" s="934"/>
      <c r="E40" s="934"/>
      <c r="F40" s="935"/>
      <c r="G40" s="455" t="str">
        <f>IF(基本情報入力シート!L68="", "", 基本情報入力シート!L68)</f>
        <v/>
      </c>
      <c r="H40" s="455" t="str">
        <f>IF(基本情報入力シート!Q68="", "", 基本情報入力シート!Q68)</f>
        <v/>
      </c>
      <c r="I40" s="455" t="str">
        <f>IF(基本情報入力シート!V68="", "", 基本情報入力シート!V68)</f>
        <v/>
      </c>
      <c r="J40" s="455" t="str">
        <f>IF(基本情報入力シート!W68="", "", 基本情報入力シート!W68)</f>
        <v/>
      </c>
      <c r="K40" s="455" t="str">
        <f>IF(基本情報入力シート!Z68="", "", 基本情報入力シート!Z68)</f>
        <v/>
      </c>
      <c r="L40" s="101" t="str">
        <f>IF(基本情報入力シート!AF68=0, "",基本情報入力シート!AF68)</f>
        <v/>
      </c>
      <c r="M40" s="142" t="str">
        <f>IF(AND(基本情報入力シート!AG68="",基本情報入力シート!AG68=""), "", 基本情報入力シート!AG68)</f>
        <v/>
      </c>
      <c r="N40" s="136"/>
      <c r="O40" s="155" t="str">
        <f>IFERROR(VLOOKUP(K40,【参考】数式用!$A$2:$M$57,MATCH(N40,【参考】数式用!$G$3:$M$3,0)+6,0),"")</f>
        <v/>
      </c>
      <c r="P40" s="456" t="s">
        <v>180</v>
      </c>
      <c r="Q40" s="141"/>
      <c r="R40" s="457" t="s">
        <v>271</v>
      </c>
      <c r="S40" s="141"/>
      <c r="T40" s="457" t="s">
        <v>272</v>
      </c>
      <c r="U40" s="141"/>
      <c r="V40" s="457" t="s">
        <v>271</v>
      </c>
      <c r="W40" s="141"/>
      <c r="X40" s="457" t="s">
        <v>273</v>
      </c>
      <c r="Y40" s="457" t="s">
        <v>274</v>
      </c>
      <c r="Z40" s="457" t="str">
        <f t="shared" si="0"/>
        <v/>
      </c>
      <c r="AA40" s="458" t="s">
        <v>275</v>
      </c>
      <c r="AB40" s="459" t="str">
        <f t="shared" si="1"/>
        <v/>
      </c>
      <c r="AC40" s="460" t="str">
        <f>IFERROR(ROUNDDOWN(ROUNDDOWN(ROUND(L40*VLOOKUP(K40,【参考】数式用!$A$2:$M$57,MATCH("処遇改善加算Ⅳ",【参考】数式用!$G$3:$M$3,0)+6,0),0)*M40,0)*Z40*0.5,0), "")</f>
        <v/>
      </c>
      <c r="AD40" s="156"/>
      <c r="AE40" s="157"/>
      <c r="AF40" s="157"/>
      <c r="AG40" s="158"/>
      <c r="AH40" s="159"/>
      <c r="AI40" s="160"/>
      <c r="AJ40" s="161"/>
      <c r="AK40" s="542" t="str">
        <f t="shared" si="17"/>
        <v/>
      </c>
      <c r="AL40" s="543" t="str">
        <f t="shared" si="2"/>
        <v/>
      </c>
      <c r="AM40" s="544"/>
      <c r="AN40" s="545" t="str">
        <f>IFERROR(VLOOKUP(K40,【参考】数式用!$A$2:$N$57,14,FALSE),"")</f>
        <v/>
      </c>
      <c r="AO40" s="545" t="str">
        <f t="shared" si="3"/>
        <v/>
      </c>
      <c r="AP40" s="546" t="str">
        <f t="shared" si="18"/>
        <v/>
      </c>
      <c r="AQ40" s="546" t="str">
        <f t="shared" si="19"/>
        <v>キャリアパス要件Ⅰ・Ⅱ_</v>
      </c>
      <c r="AR40" s="547" t="str">
        <f t="shared" si="20"/>
        <v>入力済</v>
      </c>
      <c r="AS40" s="545" t="str">
        <f t="shared" si="4"/>
        <v/>
      </c>
      <c r="AT40" s="547" t="str">
        <f t="shared" si="5"/>
        <v>入力済</v>
      </c>
      <c r="AU40" s="547" t="str">
        <f t="shared" si="6"/>
        <v/>
      </c>
      <c r="AV40" s="547" t="str">
        <f t="shared" si="7"/>
        <v/>
      </c>
      <c r="AW40" s="545" t="str">
        <f t="shared" si="8"/>
        <v/>
      </c>
      <c r="AX40" s="545" t="str">
        <f t="shared" si="9"/>
        <v>入力済</v>
      </c>
      <c r="AY40" s="547" t="str">
        <f>IFERROR(VLOOKUP(K40,【参考】数式用!$AR$3:$AS$49, 2, FALSE), "")</f>
        <v/>
      </c>
      <c r="AZ40" s="545" t="str">
        <f t="shared" si="10"/>
        <v/>
      </c>
      <c r="BA40" s="548" t="str">
        <f t="shared" si="21"/>
        <v>入力済</v>
      </c>
      <c r="BB40" s="547" t="str">
        <f>IFERROR(VLOOKUP(K40,【参考】数式用!$AX$3:$AY$56, 2, FALSE), "")</f>
        <v/>
      </c>
      <c r="BC40" s="545" t="str">
        <f t="shared" si="11"/>
        <v/>
      </c>
      <c r="BD40" s="548" t="str">
        <f t="shared" si="22"/>
        <v>入力済</v>
      </c>
      <c r="BE40" s="548" t="str">
        <f t="shared" si="12"/>
        <v/>
      </c>
      <c r="BF40" s="548" t="str">
        <f t="shared" si="13"/>
        <v/>
      </c>
      <c r="BG40" s="548" t="str">
        <f t="shared" si="14"/>
        <v/>
      </c>
      <c r="BH40" s="548" t="str">
        <f t="shared" si="15"/>
        <v/>
      </c>
      <c r="BI40" s="548" t="str">
        <f t="shared" si="16"/>
        <v/>
      </c>
      <c r="BM40" s="634" t="e">
        <f>VLOOKUP(K40,【参考】数式用!$A$2:$O$57,15,FALSE)</f>
        <v>#N/A</v>
      </c>
    </row>
    <row r="41" spans="1:65" ht="109.9" customHeight="1" thickBot="1">
      <c r="A41" s="454">
        <v>30</v>
      </c>
      <c r="B41" s="933" t="str">
        <f>IF(基本情報入力シート!B69="","",基本情報入力シート!B69)</f>
        <v/>
      </c>
      <c r="C41" s="934"/>
      <c r="D41" s="934"/>
      <c r="E41" s="934"/>
      <c r="F41" s="935"/>
      <c r="G41" s="455" t="str">
        <f>IF(基本情報入力シート!L69="", "", 基本情報入力シート!L69)</f>
        <v/>
      </c>
      <c r="H41" s="455" t="str">
        <f>IF(基本情報入力シート!Q69="", "", 基本情報入力シート!Q69)</f>
        <v/>
      </c>
      <c r="I41" s="455" t="str">
        <f>IF(基本情報入力シート!V69="", "", 基本情報入力シート!V69)</f>
        <v/>
      </c>
      <c r="J41" s="455" t="str">
        <f>IF(基本情報入力シート!W69="", "", 基本情報入力シート!W69)</f>
        <v/>
      </c>
      <c r="K41" s="455" t="str">
        <f>IF(基本情報入力シート!Z69="", "", 基本情報入力シート!Z69)</f>
        <v/>
      </c>
      <c r="L41" s="101" t="str">
        <f>IF(基本情報入力シート!AF69=0, "",基本情報入力シート!AF69)</f>
        <v/>
      </c>
      <c r="M41" s="142" t="str">
        <f>IF(AND(基本情報入力シート!AG69="",基本情報入力シート!AG69=""), "", 基本情報入力シート!AG69)</f>
        <v/>
      </c>
      <c r="N41" s="136"/>
      <c r="O41" s="155" t="str">
        <f>IFERROR(VLOOKUP(K41,【参考】数式用!$A$2:$M$57,MATCH(N41,【参考】数式用!$G$3:$M$3,0)+6,0),"")</f>
        <v/>
      </c>
      <c r="P41" s="456" t="s">
        <v>180</v>
      </c>
      <c r="Q41" s="141"/>
      <c r="R41" s="457" t="s">
        <v>271</v>
      </c>
      <c r="S41" s="141"/>
      <c r="T41" s="457" t="s">
        <v>272</v>
      </c>
      <c r="U41" s="141"/>
      <c r="V41" s="457" t="s">
        <v>271</v>
      </c>
      <c r="W41" s="141"/>
      <c r="X41" s="457" t="s">
        <v>273</v>
      </c>
      <c r="Y41" s="457" t="s">
        <v>274</v>
      </c>
      <c r="Z41" s="457" t="str">
        <f t="shared" si="0"/>
        <v/>
      </c>
      <c r="AA41" s="458" t="s">
        <v>275</v>
      </c>
      <c r="AB41" s="459" t="str">
        <f t="shared" si="1"/>
        <v/>
      </c>
      <c r="AC41" s="460" t="str">
        <f>IFERROR(ROUNDDOWN(ROUNDDOWN(ROUND(L41*VLOOKUP(K41,【参考】数式用!$A$2:$M$57,MATCH("処遇改善加算Ⅳ",【参考】数式用!$G$3:$M$3,0)+6,0),0)*M41,0)*Z41*0.5,0), "")</f>
        <v/>
      </c>
      <c r="AD41" s="156"/>
      <c r="AE41" s="157"/>
      <c r="AF41" s="157"/>
      <c r="AG41" s="158"/>
      <c r="AH41" s="159"/>
      <c r="AI41" s="160"/>
      <c r="AJ41" s="161"/>
      <c r="AK41" s="542" t="str">
        <f t="shared" si="17"/>
        <v/>
      </c>
      <c r="AL41" s="543" t="str">
        <f t="shared" si="2"/>
        <v/>
      </c>
      <c r="AM41" s="544"/>
      <c r="AN41" s="545" t="str">
        <f>IFERROR(VLOOKUP(K41,【参考】数式用!$A$2:$N$57,14,FALSE),"")</f>
        <v/>
      </c>
      <c r="AO41" s="545" t="str">
        <f t="shared" si="3"/>
        <v/>
      </c>
      <c r="AP41" s="546" t="str">
        <f t="shared" si="18"/>
        <v/>
      </c>
      <c r="AQ41" s="546" t="str">
        <f t="shared" si="19"/>
        <v>キャリアパス要件Ⅰ・Ⅱ_</v>
      </c>
      <c r="AR41" s="547" t="str">
        <f t="shared" si="20"/>
        <v>入力済</v>
      </c>
      <c r="AS41" s="545" t="str">
        <f t="shared" si="4"/>
        <v/>
      </c>
      <c r="AT41" s="547" t="str">
        <f t="shared" si="5"/>
        <v>入力済</v>
      </c>
      <c r="AU41" s="547" t="str">
        <f t="shared" si="6"/>
        <v/>
      </c>
      <c r="AV41" s="547" t="str">
        <f t="shared" si="7"/>
        <v/>
      </c>
      <c r="AW41" s="545" t="str">
        <f t="shared" si="8"/>
        <v/>
      </c>
      <c r="AX41" s="545" t="str">
        <f t="shared" si="9"/>
        <v>入力済</v>
      </c>
      <c r="AY41" s="547" t="str">
        <f>IFERROR(VLOOKUP(K41,【参考】数式用!$AR$3:$AS$49, 2, FALSE), "")</f>
        <v/>
      </c>
      <c r="AZ41" s="545" t="str">
        <f t="shared" si="10"/>
        <v/>
      </c>
      <c r="BA41" s="548" t="str">
        <f t="shared" si="21"/>
        <v>入力済</v>
      </c>
      <c r="BB41" s="547" t="str">
        <f>IFERROR(VLOOKUP(K41,【参考】数式用!$AX$3:$AY$56, 2, FALSE), "")</f>
        <v/>
      </c>
      <c r="BC41" s="545" t="str">
        <f t="shared" si="11"/>
        <v/>
      </c>
      <c r="BD41" s="548" t="str">
        <f t="shared" si="22"/>
        <v>入力済</v>
      </c>
      <c r="BE41" s="548" t="str">
        <f t="shared" si="12"/>
        <v/>
      </c>
      <c r="BF41" s="548" t="str">
        <f t="shared" si="13"/>
        <v/>
      </c>
      <c r="BG41" s="548" t="str">
        <f t="shared" si="14"/>
        <v/>
      </c>
      <c r="BH41" s="548" t="str">
        <f t="shared" si="15"/>
        <v/>
      </c>
      <c r="BI41" s="548" t="str">
        <f t="shared" si="16"/>
        <v/>
      </c>
      <c r="BM41" s="634" t="e">
        <f>VLOOKUP(K41,【参考】数式用!$A$2:$O$57,15,FALSE)</f>
        <v>#N/A</v>
      </c>
    </row>
    <row r="42" spans="1:65" ht="109.9" customHeight="1" thickBot="1">
      <c r="A42" s="454">
        <v>31</v>
      </c>
      <c r="B42" s="933" t="str">
        <f>IF(基本情報入力シート!B70="","",基本情報入力シート!B70)</f>
        <v/>
      </c>
      <c r="C42" s="934"/>
      <c r="D42" s="934"/>
      <c r="E42" s="934"/>
      <c r="F42" s="935"/>
      <c r="G42" s="455" t="str">
        <f>IF(基本情報入力シート!L70="", "", 基本情報入力シート!L70)</f>
        <v/>
      </c>
      <c r="H42" s="455" t="str">
        <f>IF(基本情報入力シート!Q70="", "", 基本情報入力シート!Q70)</f>
        <v/>
      </c>
      <c r="I42" s="455" t="str">
        <f>IF(基本情報入力シート!V70="", "", 基本情報入力シート!V70)</f>
        <v/>
      </c>
      <c r="J42" s="455" t="str">
        <f>IF(基本情報入力シート!W70="", "", 基本情報入力シート!W70)</f>
        <v/>
      </c>
      <c r="K42" s="455" t="str">
        <f>IF(基本情報入力シート!Z70="", "", 基本情報入力シート!Z70)</f>
        <v/>
      </c>
      <c r="L42" s="101" t="str">
        <f>IF(基本情報入力シート!AF70=0, "",基本情報入力シート!AF70)</f>
        <v/>
      </c>
      <c r="M42" s="142" t="str">
        <f>IF(AND(基本情報入力シート!AG70="",基本情報入力シート!AG70=""), "", 基本情報入力シート!AG70)</f>
        <v/>
      </c>
      <c r="N42" s="136"/>
      <c r="O42" s="155" t="str">
        <f>IFERROR(VLOOKUP(K42,【参考】数式用!$A$2:$M$57,MATCH(N42,【参考】数式用!$G$3:$M$3,0)+6,0),"")</f>
        <v/>
      </c>
      <c r="P42" s="456" t="s">
        <v>180</v>
      </c>
      <c r="Q42" s="141"/>
      <c r="R42" s="457" t="s">
        <v>271</v>
      </c>
      <c r="S42" s="141"/>
      <c r="T42" s="457" t="s">
        <v>272</v>
      </c>
      <c r="U42" s="141"/>
      <c r="V42" s="457" t="s">
        <v>271</v>
      </c>
      <c r="W42" s="141"/>
      <c r="X42" s="457" t="s">
        <v>273</v>
      </c>
      <c r="Y42" s="457" t="s">
        <v>274</v>
      </c>
      <c r="Z42" s="457" t="str">
        <f t="shared" si="0"/>
        <v/>
      </c>
      <c r="AA42" s="458" t="s">
        <v>275</v>
      </c>
      <c r="AB42" s="459" t="str">
        <f t="shared" si="1"/>
        <v/>
      </c>
      <c r="AC42" s="460" t="str">
        <f>IFERROR(ROUNDDOWN(ROUNDDOWN(ROUND(L42*VLOOKUP(K42,【参考】数式用!$A$2:$M$57,MATCH("処遇改善加算Ⅳ",【参考】数式用!$G$3:$M$3,0)+6,0),0)*M42,0)*Z42*0.5,0), "")</f>
        <v/>
      </c>
      <c r="AD42" s="156"/>
      <c r="AE42" s="157"/>
      <c r="AF42" s="157"/>
      <c r="AG42" s="158"/>
      <c r="AH42" s="159"/>
      <c r="AI42" s="160"/>
      <c r="AJ42" s="161"/>
      <c r="AK42" s="542" t="str">
        <f t="shared" si="17"/>
        <v/>
      </c>
      <c r="AL42" s="543" t="str">
        <f t="shared" si="2"/>
        <v/>
      </c>
      <c r="AM42" s="544"/>
      <c r="AN42" s="545" t="str">
        <f>IFERROR(VLOOKUP(K42,【参考】数式用!$A$2:$N$57,14,FALSE),"")</f>
        <v/>
      </c>
      <c r="AO42" s="545" t="str">
        <f t="shared" si="3"/>
        <v/>
      </c>
      <c r="AP42" s="546" t="str">
        <f t="shared" si="18"/>
        <v/>
      </c>
      <c r="AQ42" s="546" t="str">
        <f t="shared" si="19"/>
        <v>キャリアパス要件Ⅰ・Ⅱ_</v>
      </c>
      <c r="AR42" s="547" t="str">
        <f t="shared" si="20"/>
        <v>入力済</v>
      </c>
      <c r="AS42" s="545" t="str">
        <f t="shared" si="4"/>
        <v/>
      </c>
      <c r="AT42" s="547" t="str">
        <f t="shared" si="5"/>
        <v>入力済</v>
      </c>
      <c r="AU42" s="547" t="str">
        <f t="shared" si="6"/>
        <v/>
      </c>
      <c r="AV42" s="547" t="str">
        <f t="shared" si="7"/>
        <v/>
      </c>
      <c r="AW42" s="545" t="str">
        <f t="shared" si="8"/>
        <v/>
      </c>
      <c r="AX42" s="545" t="str">
        <f t="shared" si="9"/>
        <v>入力済</v>
      </c>
      <c r="AY42" s="547" t="str">
        <f>IFERROR(VLOOKUP(K42,【参考】数式用!$AR$3:$AS$49, 2, FALSE), "")</f>
        <v/>
      </c>
      <c r="AZ42" s="545" t="str">
        <f t="shared" si="10"/>
        <v/>
      </c>
      <c r="BA42" s="548" t="str">
        <f t="shared" si="21"/>
        <v>入力済</v>
      </c>
      <c r="BB42" s="547" t="str">
        <f>IFERROR(VLOOKUP(K42,【参考】数式用!$AX$3:$AY$56, 2, FALSE), "")</f>
        <v/>
      </c>
      <c r="BC42" s="545" t="str">
        <f t="shared" si="11"/>
        <v/>
      </c>
      <c r="BD42" s="548" t="str">
        <f t="shared" si="22"/>
        <v>入力済</v>
      </c>
      <c r="BE42" s="548" t="str">
        <f t="shared" si="12"/>
        <v/>
      </c>
      <c r="BF42" s="548" t="str">
        <f t="shared" si="13"/>
        <v/>
      </c>
      <c r="BG42" s="548" t="str">
        <f t="shared" si="14"/>
        <v/>
      </c>
      <c r="BH42" s="548" t="str">
        <f t="shared" si="15"/>
        <v/>
      </c>
      <c r="BI42" s="548" t="str">
        <f t="shared" si="16"/>
        <v/>
      </c>
      <c r="BM42" s="634" t="e">
        <f>VLOOKUP(K42,【参考】数式用!$A$2:$O$57,15,FALSE)</f>
        <v>#N/A</v>
      </c>
    </row>
    <row r="43" spans="1:65" ht="109.9" customHeight="1" thickBot="1">
      <c r="A43" s="454">
        <v>32</v>
      </c>
      <c r="B43" s="933" t="str">
        <f>IF(基本情報入力シート!B71="","",基本情報入力シート!B71)</f>
        <v/>
      </c>
      <c r="C43" s="934"/>
      <c r="D43" s="934"/>
      <c r="E43" s="934"/>
      <c r="F43" s="935"/>
      <c r="G43" s="455" t="str">
        <f>IF(基本情報入力シート!L71="", "", 基本情報入力シート!L71)</f>
        <v/>
      </c>
      <c r="H43" s="455" t="str">
        <f>IF(基本情報入力シート!Q71="", "", 基本情報入力シート!Q71)</f>
        <v/>
      </c>
      <c r="I43" s="455" t="str">
        <f>IF(基本情報入力シート!V71="", "", 基本情報入力シート!V71)</f>
        <v/>
      </c>
      <c r="J43" s="455" t="str">
        <f>IF(基本情報入力シート!W71="", "", 基本情報入力シート!W71)</f>
        <v/>
      </c>
      <c r="K43" s="455" t="str">
        <f>IF(基本情報入力シート!Z71="", "", 基本情報入力シート!Z71)</f>
        <v/>
      </c>
      <c r="L43" s="101" t="str">
        <f>IF(基本情報入力シート!AF71=0, "",基本情報入力シート!AF71)</f>
        <v/>
      </c>
      <c r="M43" s="142" t="str">
        <f>IF(AND(基本情報入力シート!AG71="",基本情報入力シート!AG71=""), "", 基本情報入力シート!AG71)</f>
        <v/>
      </c>
      <c r="N43" s="136"/>
      <c r="O43" s="155" t="str">
        <f>IFERROR(VLOOKUP(K43,【参考】数式用!$A$2:$M$57,MATCH(N43,【参考】数式用!$G$3:$M$3,0)+6,0),"")</f>
        <v/>
      </c>
      <c r="P43" s="456" t="s">
        <v>180</v>
      </c>
      <c r="Q43" s="141"/>
      <c r="R43" s="457" t="s">
        <v>271</v>
      </c>
      <c r="S43" s="141"/>
      <c r="T43" s="457" t="s">
        <v>272</v>
      </c>
      <c r="U43" s="141"/>
      <c r="V43" s="457" t="s">
        <v>271</v>
      </c>
      <c r="W43" s="141"/>
      <c r="X43" s="457" t="s">
        <v>182</v>
      </c>
      <c r="Y43" s="457" t="s">
        <v>274</v>
      </c>
      <c r="Z43" s="457" t="str">
        <f t="shared" si="0"/>
        <v/>
      </c>
      <c r="AA43" s="458" t="s">
        <v>275</v>
      </c>
      <c r="AB43" s="459" t="str">
        <f t="shared" si="1"/>
        <v/>
      </c>
      <c r="AC43" s="460" t="str">
        <f>IFERROR(ROUNDDOWN(ROUNDDOWN(ROUND(L43*VLOOKUP(K43,【参考】数式用!$A$2:$M$57,MATCH("処遇改善加算Ⅳ",【参考】数式用!$G$3:$M$3,0)+6,0),0)*M43,0)*Z43*0.5,0), "")</f>
        <v/>
      </c>
      <c r="AD43" s="156"/>
      <c r="AE43" s="157"/>
      <c r="AF43" s="157"/>
      <c r="AG43" s="158"/>
      <c r="AH43" s="159"/>
      <c r="AI43" s="160"/>
      <c r="AJ43" s="161"/>
      <c r="AK43" s="542" t="str">
        <f t="shared" si="17"/>
        <v/>
      </c>
      <c r="AL43" s="543" t="str">
        <f t="shared" si="2"/>
        <v/>
      </c>
      <c r="AM43" s="544"/>
      <c r="AN43" s="545" t="str">
        <f>IFERROR(VLOOKUP(K43,【参考】数式用!$A$2:$N$57,14,FALSE),"")</f>
        <v/>
      </c>
      <c r="AO43" s="545" t="str">
        <f t="shared" si="3"/>
        <v/>
      </c>
      <c r="AP43" s="546" t="str">
        <f t="shared" si="18"/>
        <v/>
      </c>
      <c r="AQ43" s="546" t="str">
        <f t="shared" si="19"/>
        <v>キャリアパス要件Ⅰ・Ⅱ_</v>
      </c>
      <c r="AR43" s="547" t="str">
        <f t="shared" si="20"/>
        <v>入力済</v>
      </c>
      <c r="AS43" s="545" t="str">
        <f t="shared" si="4"/>
        <v/>
      </c>
      <c r="AT43" s="547" t="str">
        <f t="shared" si="5"/>
        <v>入力済</v>
      </c>
      <c r="AU43" s="547" t="str">
        <f t="shared" si="6"/>
        <v/>
      </c>
      <c r="AV43" s="547" t="str">
        <f t="shared" si="7"/>
        <v/>
      </c>
      <c r="AW43" s="545" t="str">
        <f t="shared" si="8"/>
        <v/>
      </c>
      <c r="AX43" s="545" t="str">
        <f t="shared" si="9"/>
        <v>入力済</v>
      </c>
      <c r="AY43" s="547" t="str">
        <f>IFERROR(VLOOKUP(K43,【参考】数式用!$AR$3:$AS$49, 2, FALSE), "")</f>
        <v/>
      </c>
      <c r="AZ43" s="545" t="str">
        <f t="shared" si="10"/>
        <v/>
      </c>
      <c r="BA43" s="548" t="str">
        <f t="shared" si="21"/>
        <v>入力済</v>
      </c>
      <c r="BB43" s="547" t="str">
        <f>IFERROR(VLOOKUP(K43,【参考】数式用!$AX$3:$AY$56, 2, FALSE), "")</f>
        <v/>
      </c>
      <c r="BC43" s="545" t="str">
        <f t="shared" si="11"/>
        <v/>
      </c>
      <c r="BD43" s="548" t="str">
        <f t="shared" si="22"/>
        <v>入力済</v>
      </c>
      <c r="BE43" s="548" t="str">
        <f t="shared" si="12"/>
        <v/>
      </c>
      <c r="BF43" s="548" t="str">
        <f t="shared" si="13"/>
        <v/>
      </c>
      <c r="BG43" s="548" t="str">
        <f t="shared" si="14"/>
        <v/>
      </c>
      <c r="BH43" s="548" t="str">
        <f t="shared" si="15"/>
        <v/>
      </c>
      <c r="BI43" s="548" t="str">
        <f t="shared" si="16"/>
        <v/>
      </c>
      <c r="BM43" s="634" t="e">
        <f>VLOOKUP(K43,【参考】数式用!$A$2:$O$57,15,FALSE)</f>
        <v>#N/A</v>
      </c>
    </row>
    <row r="44" spans="1:65" ht="109.9" customHeight="1" thickBot="1">
      <c r="A44" s="454">
        <v>33</v>
      </c>
      <c r="B44" s="933" t="str">
        <f>IF(基本情報入力シート!B72="","",基本情報入力シート!B72)</f>
        <v/>
      </c>
      <c r="C44" s="934"/>
      <c r="D44" s="934"/>
      <c r="E44" s="934"/>
      <c r="F44" s="935"/>
      <c r="G44" s="455" t="str">
        <f>IF(基本情報入力シート!L72="", "", 基本情報入力シート!L72)</f>
        <v/>
      </c>
      <c r="H44" s="455" t="str">
        <f>IF(基本情報入力シート!Q72="", "", 基本情報入力シート!Q72)</f>
        <v/>
      </c>
      <c r="I44" s="455" t="str">
        <f>IF(基本情報入力シート!V72="", "", 基本情報入力シート!V72)</f>
        <v/>
      </c>
      <c r="J44" s="455" t="str">
        <f>IF(基本情報入力シート!W72="", "", 基本情報入力シート!W72)</f>
        <v/>
      </c>
      <c r="K44" s="455" t="str">
        <f>IF(基本情報入力シート!Z72="", "", 基本情報入力シート!Z72)</f>
        <v/>
      </c>
      <c r="L44" s="101" t="str">
        <f>IF(基本情報入力シート!AF72=0, "",基本情報入力シート!AF72)</f>
        <v/>
      </c>
      <c r="M44" s="142" t="str">
        <f>IF(AND(基本情報入力シート!AG72="",基本情報入力シート!AG72=""), "", 基本情報入力シート!AG72)</f>
        <v/>
      </c>
      <c r="N44" s="136"/>
      <c r="O44" s="155" t="str">
        <f>IFERROR(VLOOKUP(K44,【参考】数式用!$A$2:$M$57,MATCH(N44,【参考】数式用!$G$3:$M$3,0)+6,0),"")</f>
        <v/>
      </c>
      <c r="P44" s="456" t="s">
        <v>180</v>
      </c>
      <c r="Q44" s="141"/>
      <c r="R44" s="457" t="s">
        <v>271</v>
      </c>
      <c r="S44" s="141"/>
      <c r="T44" s="457" t="s">
        <v>272</v>
      </c>
      <c r="U44" s="141"/>
      <c r="V44" s="457" t="s">
        <v>271</v>
      </c>
      <c r="W44" s="141"/>
      <c r="X44" s="457" t="s">
        <v>182</v>
      </c>
      <c r="Y44" s="457" t="s">
        <v>274</v>
      </c>
      <c r="Z44" s="457" t="str">
        <f t="shared" si="0"/>
        <v/>
      </c>
      <c r="AA44" s="458" t="s">
        <v>275</v>
      </c>
      <c r="AB44" s="459" t="str">
        <f t="shared" si="1"/>
        <v/>
      </c>
      <c r="AC44" s="460" t="str">
        <f>IFERROR(ROUNDDOWN(ROUNDDOWN(ROUND(L44*VLOOKUP(K44,【参考】数式用!$A$2:$M$57,MATCH("処遇改善加算Ⅳ",【参考】数式用!$G$3:$M$3,0)+6,0),0)*M44,0)*Z44*0.5,0), "")</f>
        <v/>
      </c>
      <c r="AD44" s="156"/>
      <c r="AE44" s="157"/>
      <c r="AF44" s="157"/>
      <c r="AG44" s="158"/>
      <c r="AH44" s="159"/>
      <c r="AI44" s="160"/>
      <c r="AJ44" s="161"/>
      <c r="AK44" s="542" t="str">
        <f t="shared" si="17"/>
        <v/>
      </c>
      <c r="AL44" s="543" t="str">
        <f t="shared" si="2"/>
        <v/>
      </c>
      <c r="AM44" s="544"/>
      <c r="AN44" s="545" t="str">
        <f>IFERROR(VLOOKUP(K44,【参考】数式用!$A$2:$N$57,14,FALSE),"")</f>
        <v/>
      </c>
      <c r="AO44" s="545" t="str">
        <f t="shared" si="3"/>
        <v/>
      </c>
      <c r="AP44" s="546" t="str">
        <f t="shared" si="18"/>
        <v/>
      </c>
      <c r="AQ44" s="546" t="str">
        <f t="shared" si="19"/>
        <v>キャリアパス要件Ⅰ・Ⅱ_</v>
      </c>
      <c r="AR44" s="547" t="str">
        <f t="shared" si="20"/>
        <v>入力済</v>
      </c>
      <c r="AS44" s="545" t="str">
        <f t="shared" si="4"/>
        <v/>
      </c>
      <c r="AT44" s="547" t="str">
        <f t="shared" si="5"/>
        <v>入力済</v>
      </c>
      <c r="AU44" s="547" t="str">
        <f t="shared" si="6"/>
        <v/>
      </c>
      <c r="AV44" s="547" t="str">
        <f t="shared" si="7"/>
        <v/>
      </c>
      <c r="AW44" s="545" t="str">
        <f t="shared" si="8"/>
        <v/>
      </c>
      <c r="AX44" s="545" t="str">
        <f t="shared" si="9"/>
        <v>入力済</v>
      </c>
      <c r="AY44" s="547" t="str">
        <f>IFERROR(VLOOKUP(K44,【参考】数式用!$AR$3:$AS$49, 2, FALSE), "")</f>
        <v/>
      </c>
      <c r="AZ44" s="545" t="str">
        <f t="shared" si="10"/>
        <v/>
      </c>
      <c r="BA44" s="548" t="str">
        <f t="shared" si="21"/>
        <v>入力済</v>
      </c>
      <c r="BB44" s="547" t="str">
        <f>IFERROR(VLOOKUP(K44,【参考】数式用!$AX$3:$AY$56, 2, FALSE), "")</f>
        <v/>
      </c>
      <c r="BC44" s="545" t="str">
        <f t="shared" si="11"/>
        <v/>
      </c>
      <c r="BD44" s="548" t="str">
        <f t="shared" ref="BD44:BD75" si="36">IF(AND(COUNTIF(AE44:AH44,"*令和８年度特例要件を*")&gt;0,AJ44=""), "未入力","入力済")</f>
        <v>入力済</v>
      </c>
      <c r="BE44" s="548" t="str">
        <f t="shared" si="12"/>
        <v/>
      </c>
      <c r="BF44" s="548" t="str">
        <f t="shared" si="13"/>
        <v/>
      </c>
      <c r="BG44" s="548" t="str">
        <f t="shared" si="14"/>
        <v/>
      </c>
      <c r="BH44" s="548" t="str">
        <f t="shared" si="15"/>
        <v/>
      </c>
      <c r="BI44" s="548" t="str">
        <f t="shared" si="16"/>
        <v/>
      </c>
      <c r="BM44" s="634" t="e">
        <f>VLOOKUP(K44,【参考】数式用!$A$2:$O$57,15,FALSE)</f>
        <v>#N/A</v>
      </c>
    </row>
    <row r="45" spans="1:65" ht="109.9" customHeight="1" thickBot="1">
      <c r="A45" s="454">
        <v>34</v>
      </c>
      <c r="B45" s="933" t="str">
        <f>IF(基本情報入力シート!B73="","",基本情報入力シート!B73)</f>
        <v/>
      </c>
      <c r="C45" s="934"/>
      <c r="D45" s="934"/>
      <c r="E45" s="934"/>
      <c r="F45" s="935"/>
      <c r="G45" s="455" t="str">
        <f>IF(基本情報入力シート!L73="", "", 基本情報入力シート!L73)</f>
        <v/>
      </c>
      <c r="H45" s="455" t="str">
        <f>IF(基本情報入力シート!Q73="", "", 基本情報入力シート!Q73)</f>
        <v/>
      </c>
      <c r="I45" s="455" t="str">
        <f>IF(基本情報入力シート!V73="", "", 基本情報入力シート!V73)</f>
        <v/>
      </c>
      <c r="J45" s="455" t="str">
        <f>IF(基本情報入力シート!W73="", "", 基本情報入力シート!W73)</f>
        <v/>
      </c>
      <c r="K45" s="455" t="str">
        <f>IF(基本情報入力シート!Z73="", "", 基本情報入力シート!Z73)</f>
        <v/>
      </c>
      <c r="L45" s="101" t="str">
        <f>IF(基本情報入力シート!AF73=0, "",基本情報入力シート!AF73)</f>
        <v/>
      </c>
      <c r="M45" s="142" t="str">
        <f>IF(AND(基本情報入力シート!AG73="",基本情報入力シート!AG73=""), "", 基本情報入力シート!AG73)</f>
        <v/>
      </c>
      <c r="N45" s="136"/>
      <c r="O45" s="155" t="str">
        <f>IFERROR(VLOOKUP(K45,【参考】数式用!$A$2:$M$57,MATCH(N45,【参考】数式用!$G$3:$M$3,0)+6,0),"")</f>
        <v/>
      </c>
      <c r="P45" s="456" t="s">
        <v>180</v>
      </c>
      <c r="Q45" s="141"/>
      <c r="R45" s="457" t="s">
        <v>271</v>
      </c>
      <c r="S45" s="141"/>
      <c r="T45" s="457" t="s">
        <v>272</v>
      </c>
      <c r="U45" s="141"/>
      <c r="V45" s="457" t="s">
        <v>271</v>
      </c>
      <c r="W45" s="141"/>
      <c r="X45" s="457" t="s">
        <v>273</v>
      </c>
      <c r="Y45" s="457" t="s">
        <v>274</v>
      </c>
      <c r="Z45" s="457" t="str">
        <f t="shared" si="0"/>
        <v/>
      </c>
      <c r="AA45" s="458" t="s">
        <v>275</v>
      </c>
      <c r="AB45" s="459" t="str">
        <f t="shared" si="1"/>
        <v/>
      </c>
      <c r="AC45" s="460" t="str">
        <f>IFERROR(ROUNDDOWN(ROUNDDOWN(ROUND(L45*VLOOKUP(K45,【参考】数式用!$A$2:$M$57,MATCH("処遇改善加算Ⅳ",【参考】数式用!$G$3:$M$3,0)+6,0),0)*M45,0)*Z45*0.5,0), "")</f>
        <v/>
      </c>
      <c r="AD45" s="156"/>
      <c r="AE45" s="157"/>
      <c r="AF45" s="157"/>
      <c r="AG45" s="158"/>
      <c r="AH45" s="159"/>
      <c r="AI45" s="160"/>
      <c r="AJ45" s="161"/>
      <c r="AK45" s="542" t="str">
        <f t="shared" si="17"/>
        <v/>
      </c>
      <c r="AL45" s="543" t="str">
        <f t="shared" si="2"/>
        <v/>
      </c>
      <c r="AM45" s="544"/>
      <c r="AN45" s="545" t="str">
        <f>IFERROR(VLOOKUP(K45,【参考】数式用!$A$2:$N$57,14,FALSE),"")</f>
        <v/>
      </c>
      <c r="AO45" s="545" t="str">
        <f t="shared" si="3"/>
        <v/>
      </c>
      <c r="AP45" s="546" t="str">
        <f t="shared" si="18"/>
        <v/>
      </c>
      <c r="AQ45" s="546" t="str">
        <f t="shared" si="19"/>
        <v>キャリアパス要件Ⅰ・Ⅱ_</v>
      </c>
      <c r="AR45" s="547" t="str">
        <f t="shared" si="20"/>
        <v>入力済</v>
      </c>
      <c r="AS45" s="545" t="str">
        <f t="shared" si="4"/>
        <v/>
      </c>
      <c r="AT45" s="547" t="str">
        <f t="shared" si="5"/>
        <v>入力済</v>
      </c>
      <c r="AU45" s="547" t="str">
        <f t="shared" si="6"/>
        <v/>
      </c>
      <c r="AV45" s="547" t="str">
        <f t="shared" si="7"/>
        <v/>
      </c>
      <c r="AW45" s="545" t="str">
        <f t="shared" si="8"/>
        <v/>
      </c>
      <c r="AX45" s="545" t="str">
        <f t="shared" si="9"/>
        <v>入力済</v>
      </c>
      <c r="AY45" s="547" t="str">
        <f>IFERROR(VLOOKUP(K45,【参考】数式用!$AR$3:$AS$49, 2, FALSE), "")</f>
        <v/>
      </c>
      <c r="AZ45" s="545" t="str">
        <f t="shared" si="10"/>
        <v/>
      </c>
      <c r="BA45" s="548" t="str">
        <f t="shared" si="21"/>
        <v>入力済</v>
      </c>
      <c r="BB45" s="547" t="str">
        <f>IFERROR(VLOOKUP(K45,【参考】数式用!$AX$3:$AY$56, 2, FALSE), "")</f>
        <v/>
      </c>
      <c r="BC45" s="545" t="str">
        <f t="shared" si="11"/>
        <v/>
      </c>
      <c r="BD45" s="548" t="str">
        <f t="shared" si="36"/>
        <v>入力済</v>
      </c>
      <c r="BE45" s="548" t="str">
        <f t="shared" si="12"/>
        <v/>
      </c>
      <c r="BF45" s="548" t="str">
        <f t="shared" si="13"/>
        <v/>
      </c>
      <c r="BG45" s="548" t="str">
        <f t="shared" si="14"/>
        <v/>
      </c>
      <c r="BH45" s="548" t="str">
        <f t="shared" si="15"/>
        <v/>
      </c>
      <c r="BI45" s="548" t="str">
        <f t="shared" si="16"/>
        <v/>
      </c>
      <c r="BM45" s="634" t="e">
        <f>VLOOKUP(K45,【参考】数式用!$A$2:$O$57,15,FALSE)</f>
        <v>#N/A</v>
      </c>
    </row>
    <row r="46" spans="1:65" ht="109.9" customHeight="1" thickBot="1">
      <c r="A46" s="454">
        <v>35</v>
      </c>
      <c r="B46" s="933" t="str">
        <f>IF(基本情報入力シート!B74="","",基本情報入力シート!B74)</f>
        <v/>
      </c>
      <c r="C46" s="934"/>
      <c r="D46" s="934"/>
      <c r="E46" s="934"/>
      <c r="F46" s="935"/>
      <c r="G46" s="455" t="str">
        <f>IF(基本情報入力シート!L74="", "", 基本情報入力シート!L74)</f>
        <v/>
      </c>
      <c r="H46" s="455" t="str">
        <f>IF(基本情報入力シート!Q74="", "", 基本情報入力シート!Q74)</f>
        <v/>
      </c>
      <c r="I46" s="455" t="str">
        <f>IF(基本情報入力シート!V74="", "", 基本情報入力シート!V74)</f>
        <v/>
      </c>
      <c r="J46" s="455" t="str">
        <f>IF(基本情報入力シート!W74="", "", 基本情報入力シート!W74)</f>
        <v/>
      </c>
      <c r="K46" s="455" t="str">
        <f>IF(基本情報入力シート!Z74="", "", 基本情報入力シート!Z74)</f>
        <v/>
      </c>
      <c r="L46" s="101" t="str">
        <f>IF(基本情報入力シート!AF74=0, "",基本情報入力シート!AF74)</f>
        <v/>
      </c>
      <c r="M46" s="142" t="str">
        <f>IF(AND(基本情報入力シート!AG74="",基本情報入力シート!AG74=""), "", 基本情報入力シート!AG74)</f>
        <v/>
      </c>
      <c r="N46" s="136"/>
      <c r="O46" s="155" t="str">
        <f>IFERROR(VLOOKUP(K46,【参考】数式用!$A$2:$M$57,MATCH(N46,【参考】数式用!$G$3:$M$3,0)+6,0),"")</f>
        <v/>
      </c>
      <c r="P46" s="456" t="s">
        <v>180</v>
      </c>
      <c r="Q46" s="141"/>
      <c r="R46" s="457" t="s">
        <v>271</v>
      </c>
      <c r="S46" s="141"/>
      <c r="T46" s="457" t="s">
        <v>272</v>
      </c>
      <c r="U46" s="141"/>
      <c r="V46" s="457" t="s">
        <v>271</v>
      </c>
      <c r="W46" s="141"/>
      <c r="X46" s="457" t="s">
        <v>273</v>
      </c>
      <c r="Y46" s="457" t="s">
        <v>274</v>
      </c>
      <c r="Z46" s="457" t="str">
        <f t="shared" si="0"/>
        <v/>
      </c>
      <c r="AA46" s="458" t="s">
        <v>275</v>
      </c>
      <c r="AB46" s="459" t="str">
        <f t="shared" si="1"/>
        <v/>
      </c>
      <c r="AC46" s="460" t="str">
        <f>IFERROR(ROUNDDOWN(ROUNDDOWN(ROUND(L46*VLOOKUP(K46,【参考】数式用!$A$2:$M$57,MATCH("処遇改善加算Ⅳ",【参考】数式用!$G$3:$M$3,0)+6,0),0)*M46,0)*Z46*0.5,0), "")</f>
        <v/>
      </c>
      <c r="AD46" s="156"/>
      <c r="AE46" s="157"/>
      <c r="AF46" s="157"/>
      <c r="AG46" s="158"/>
      <c r="AH46" s="159"/>
      <c r="AI46" s="160"/>
      <c r="AJ46" s="161"/>
      <c r="AK46" s="542" t="str">
        <f t="shared" si="17"/>
        <v/>
      </c>
      <c r="AL46" s="543" t="str">
        <f t="shared" si="2"/>
        <v/>
      </c>
      <c r="AM46" s="544"/>
      <c r="AN46" s="545" t="str">
        <f>IFERROR(VLOOKUP(K46,【参考】数式用!$A$2:$N$57,14,FALSE),"")</f>
        <v/>
      </c>
      <c r="AO46" s="545" t="str">
        <f t="shared" si="3"/>
        <v/>
      </c>
      <c r="AP46" s="546" t="str">
        <f t="shared" si="18"/>
        <v/>
      </c>
      <c r="AQ46" s="546" t="str">
        <f t="shared" si="19"/>
        <v>キャリアパス要件Ⅰ・Ⅱ_</v>
      </c>
      <c r="AR46" s="547" t="str">
        <f t="shared" si="20"/>
        <v>入力済</v>
      </c>
      <c r="AS46" s="545" t="str">
        <f t="shared" si="4"/>
        <v/>
      </c>
      <c r="AT46" s="547" t="str">
        <f t="shared" si="5"/>
        <v>入力済</v>
      </c>
      <c r="AU46" s="547" t="str">
        <f t="shared" si="6"/>
        <v/>
      </c>
      <c r="AV46" s="547" t="str">
        <f t="shared" si="7"/>
        <v/>
      </c>
      <c r="AW46" s="545" t="str">
        <f t="shared" si="8"/>
        <v/>
      </c>
      <c r="AX46" s="545" t="str">
        <f t="shared" si="9"/>
        <v>入力済</v>
      </c>
      <c r="AY46" s="547" t="str">
        <f>IFERROR(VLOOKUP(K46,【参考】数式用!$AR$3:$AS$49, 2, FALSE), "")</f>
        <v/>
      </c>
      <c r="AZ46" s="545" t="str">
        <f t="shared" si="10"/>
        <v/>
      </c>
      <c r="BA46" s="548" t="str">
        <f t="shared" si="21"/>
        <v>入力済</v>
      </c>
      <c r="BB46" s="547" t="str">
        <f>IFERROR(VLOOKUP(K46,【参考】数式用!$AX$3:$AY$56, 2, FALSE), "")</f>
        <v/>
      </c>
      <c r="BC46" s="545" t="str">
        <f t="shared" si="11"/>
        <v/>
      </c>
      <c r="BD46" s="548" t="str">
        <f t="shared" si="36"/>
        <v>入力済</v>
      </c>
      <c r="BE46" s="548" t="str">
        <f t="shared" si="12"/>
        <v/>
      </c>
      <c r="BF46" s="548" t="str">
        <f t="shared" si="13"/>
        <v/>
      </c>
      <c r="BG46" s="548" t="str">
        <f t="shared" si="14"/>
        <v/>
      </c>
      <c r="BH46" s="548" t="str">
        <f t="shared" si="15"/>
        <v/>
      </c>
      <c r="BI46" s="548" t="str">
        <f t="shared" si="16"/>
        <v/>
      </c>
      <c r="BM46" s="634" t="e">
        <f>VLOOKUP(K46,【参考】数式用!$A$2:$O$57,15,FALSE)</f>
        <v>#N/A</v>
      </c>
    </row>
    <row r="47" spans="1:65" ht="109.9" customHeight="1" thickBot="1">
      <c r="A47" s="454">
        <v>36</v>
      </c>
      <c r="B47" s="933" t="str">
        <f>IF(基本情報入力シート!B75="","",基本情報入力シート!B75)</f>
        <v/>
      </c>
      <c r="C47" s="934"/>
      <c r="D47" s="934"/>
      <c r="E47" s="934"/>
      <c r="F47" s="935"/>
      <c r="G47" s="455" t="str">
        <f>IF(基本情報入力シート!L75="", "", 基本情報入力シート!L75)</f>
        <v/>
      </c>
      <c r="H47" s="455" t="str">
        <f>IF(基本情報入力シート!Q75="", "", 基本情報入力シート!Q75)</f>
        <v/>
      </c>
      <c r="I47" s="455" t="str">
        <f>IF(基本情報入力シート!V75="", "", 基本情報入力シート!V75)</f>
        <v/>
      </c>
      <c r="J47" s="455" t="str">
        <f>IF(基本情報入力シート!W75="", "", 基本情報入力シート!W75)</f>
        <v/>
      </c>
      <c r="K47" s="455" t="str">
        <f>IF(基本情報入力シート!Z75="", "", 基本情報入力シート!Z75)</f>
        <v/>
      </c>
      <c r="L47" s="101" t="str">
        <f>IF(基本情報入力シート!AF75=0, "",基本情報入力シート!AF75)</f>
        <v/>
      </c>
      <c r="M47" s="142" t="str">
        <f>IF(AND(基本情報入力シート!AG75="",基本情報入力シート!AG75=""), "", 基本情報入力シート!AG75)</f>
        <v/>
      </c>
      <c r="N47" s="136"/>
      <c r="O47" s="155" t="str">
        <f>IFERROR(VLOOKUP(K47,【参考】数式用!$A$2:$M$57,MATCH(N47,【参考】数式用!$G$3:$M$3,0)+6,0),"")</f>
        <v/>
      </c>
      <c r="P47" s="456" t="s">
        <v>180</v>
      </c>
      <c r="Q47" s="141"/>
      <c r="R47" s="457" t="s">
        <v>271</v>
      </c>
      <c r="S47" s="141"/>
      <c r="T47" s="457" t="s">
        <v>272</v>
      </c>
      <c r="U47" s="141"/>
      <c r="V47" s="457" t="s">
        <v>271</v>
      </c>
      <c r="W47" s="141"/>
      <c r="X47" s="457" t="s">
        <v>273</v>
      </c>
      <c r="Y47" s="457" t="s">
        <v>274</v>
      </c>
      <c r="Z47" s="457" t="str">
        <f t="shared" si="0"/>
        <v/>
      </c>
      <c r="AA47" s="458" t="s">
        <v>275</v>
      </c>
      <c r="AB47" s="459" t="str">
        <f t="shared" si="1"/>
        <v/>
      </c>
      <c r="AC47" s="460" t="str">
        <f>IFERROR(ROUNDDOWN(ROUNDDOWN(ROUND(L47*VLOOKUP(K47,【参考】数式用!$A$2:$M$57,MATCH("処遇改善加算Ⅳ",【参考】数式用!$G$3:$M$3,0)+6,0),0)*M47,0)*Z47*0.5,0), "")</f>
        <v/>
      </c>
      <c r="AD47" s="156"/>
      <c r="AE47" s="157"/>
      <c r="AF47" s="157"/>
      <c r="AG47" s="158"/>
      <c r="AH47" s="159"/>
      <c r="AI47" s="160"/>
      <c r="AJ47" s="161"/>
      <c r="AK47" s="542" t="str">
        <f t="shared" si="17"/>
        <v/>
      </c>
      <c r="AL47" s="543" t="str">
        <f t="shared" si="2"/>
        <v/>
      </c>
      <c r="AM47" s="544"/>
      <c r="AN47" s="545" t="str">
        <f>IFERROR(VLOOKUP(K47,【参考】数式用!$A$2:$N$57,14,FALSE),"")</f>
        <v/>
      </c>
      <c r="AO47" s="545" t="str">
        <f t="shared" si="3"/>
        <v/>
      </c>
      <c r="AP47" s="546" t="str">
        <f t="shared" si="18"/>
        <v/>
      </c>
      <c r="AQ47" s="546" t="str">
        <f t="shared" si="19"/>
        <v>キャリアパス要件Ⅰ・Ⅱ_</v>
      </c>
      <c r="AR47" s="547" t="str">
        <f t="shared" si="20"/>
        <v>入力済</v>
      </c>
      <c r="AS47" s="545" t="str">
        <f t="shared" si="4"/>
        <v/>
      </c>
      <c r="AT47" s="547" t="str">
        <f t="shared" si="5"/>
        <v>入力済</v>
      </c>
      <c r="AU47" s="547" t="str">
        <f t="shared" si="6"/>
        <v/>
      </c>
      <c r="AV47" s="547" t="str">
        <f t="shared" si="7"/>
        <v/>
      </c>
      <c r="AW47" s="545" t="str">
        <f t="shared" si="8"/>
        <v/>
      </c>
      <c r="AX47" s="545" t="str">
        <f t="shared" si="9"/>
        <v>入力済</v>
      </c>
      <c r="AY47" s="547" t="str">
        <f>IFERROR(VLOOKUP(K47,【参考】数式用!$AR$3:$AS$49, 2, FALSE), "")</f>
        <v/>
      </c>
      <c r="AZ47" s="545" t="str">
        <f t="shared" si="10"/>
        <v/>
      </c>
      <c r="BA47" s="548" t="str">
        <f t="shared" si="21"/>
        <v>入力済</v>
      </c>
      <c r="BB47" s="547" t="str">
        <f>IFERROR(VLOOKUP(K47,【参考】数式用!$AX$3:$AY$56, 2, FALSE), "")</f>
        <v/>
      </c>
      <c r="BC47" s="545" t="str">
        <f t="shared" si="11"/>
        <v/>
      </c>
      <c r="BD47" s="548" t="str">
        <f t="shared" si="36"/>
        <v>入力済</v>
      </c>
      <c r="BE47" s="548" t="str">
        <f t="shared" si="12"/>
        <v/>
      </c>
      <c r="BF47" s="548" t="str">
        <f t="shared" si="13"/>
        <v/>
      </c>
      <c r="BG47" s="548" t="str">
        <f t="shared" si="14"/>
        <v/>
      </c>
      <c r="BH47" s="548" t="str">
        <f t="shared" si="15"/>
        <v/>
      </c>
      <c r="BI47" s="548" t="str">
        <f t="shared" si="16"/>
        <v/>
      </c>
      <c r="BM47" s="634" t="e">
        <f>VLOOKUP(K47,【参考】数式用!$A$2:$O$57,15,FALSE)</f>
        <v>#N/A</v>
      </c>
    </row>
    <row r="48" spans="1:65" ht="109.9" customHeight="1" thickBot="1">
      <c r="A48" s="454">
        <v>37</v>
      </c>
      <c r="B48" s="933" t="str">
        <f>IF(基本情報入力シート!B76="","",基本情報入力シート!B76)</f>
        <v/>
      </c>
      <c r="C48" s="934"/>
      <c r="D48" s="934"/>
      <c r="E48" s="934"/>
      <c r="F48" s="935"/>
      <c r="G48" s="455" t="str">
        <f>IF(基本情報入力シート!L76="", "", 基本情報入力シート!L76)</f>
        <v/>
      </c>
      <c r="H48" s="455" t="str">
        <f>IF(基本情報入力シート!Q76="", "", 基本情報入力シート!Q76)</f>
        <v/>
      </c>
      <c r="I48" s="455" t="str">
        <f>IF(基本情報入力シート!V76="", "", 基本情報入力シート!V76)</f>
        <v/>
      </c>
      <c r="J48" s="455" t="str">
        <f>IF(基本情報入力シート!W76="", "", 基本情報入力シート!W76)</f>
        <v/>
      </c>
      <c r="K48" s="455" t="str">
        <f>IF(基本情報入力シート!Z76="", "", 基本情報入力シート!Z76)</f>
        <v/>
      </c>
      <c r="L48" s="101" t="str">
        <f>IF(基本情報入力シート!AF76=0, "",基本情報入力シート!AF76)</f>
        <v/>
      </c>
      <c r="M48" s="142" t="str">
        <f>IF(AND(基本情報入力シート!AG76="",基本情報入力シート!AG76=""), "", 基本情報入力シート!AG76)</f>
        <v/>
      </c>
      <c r="N48" s="136"/>
      <c r="O48" s="155" t="str">
        <f>IFERROR(VLOOKUP(K48,【参考】数式用!$A$2:$M$57,MATCH(N48,【参考】数式用!$G$3:$M$3,0)+6,0),"")</f>
        <v/>
      </c>
      <c r="P48" s="456" t="s">
        <v>180</v>
      </c>
      <c r="Q48" s="141"/>
      <c r="R48" s="457" t="s">
        <v>271</v>
      </c>
      <c r="S48" s="141"/>
      <c r="T48" s="457" t="s">
        <v>272</v>
      </c>
      <c r="U48" s="141"/>
      <c r="V48" s="457" t="s">
        <v>271</v>
      </c>
      <c r="W48" s="141"/>
      <c r="X48" s="457" t="s">
        <v>182</v>
      </c>
      <c r="Y48" s="457" t="s">
        <v>274</v>
      </c>
      <c r="Z48" s="457" t="str">
        <f t="shared" si="0"/>
        <v/>
      </c>
      <c r="AA48" s="458" t="s">
        <v>275</v>
      </c>
      <c r="AB48" s="459" t="str">
        <f t="shared" si="1"/>
        <v/>
      </c>
      <c r="AC48" s="460" t="str">
        <f>IFERROR(ROUNDDOWN(ROUNDDOWN(ROUND(L48*VLOOKUP(K48,【参考】数式用!$A$2:$M$57,MATCH("処遇改善加算Ⅳ",【参考】数式用!$G$3:$M$3,0)+6,0),0)*M48,0)*Z48*0.5,0), "")</f>
        <v/>
      </c>
      <c r="AD48" s="156"/>
      <c r="AE48" s="157"/>
      <c r="AF48" s="157"/>
      <c r="AG48" s="158"/>
      <c r="AH48" s="159"/>
      <c r="AI48" s="160"/>
      <c r="AJ48" s="161"/>
      <c r="AK48" s="542" t="str">
        <f t="shared" si="17"/>
        <v/>
      </c>
      <c r="AL48" s="543" t="str">
        <f t="shared" si="2"/>
        <v/>
      </c>
      <c r="AM48" s="544"/>
      <c r="AN48" s="545" t="str">
        <f>IFERROR(VLOOKUP(K48,【参考】数式用!$A$2:$N$57,14,FALSE),"")</f>
        <v/>
      </c>
      <c r="AO48" s="545" t="str">
        <f t="shared" si="3"/>
        <v/>
      </c>
      <c r="AP48" s="546" t="str">
        <f t="shared" si="18"/>
        <v/>
      </c>
      <c r="AQ48" s="546" t="str">
        <f t="shared" si="19"/>
        <v>キャリアパス要件Ⅰ・Ⅱ_</v>
      </c>
      <c r="AR48" s="547" t="str">
        <f t="shared" si="20"/>
        <v>入力済</v>
      </c>
      <c r="AS48" s="545" t="str">
        <f t="shared" si="4"/>
        <v/>
      </c>
      <c r="AT48" s="547" t="str">
        <f t="shared" si="5"/>
        <v>入力済</v>
      </c>
      <c r="AU48" s="547" t="str">
        <f t="shared" si="6"/>
        <v/>
      </c>
      <c r="AV48" s="547" t="str">
        <f t="shared" si="7"/>
        <v/>
      </c>
      <c r="AW48" s="545" t="str">
        <f t="shared" si="8"/>
        <v/>
      </c>
      <c r="AX48" s="545" t="str">
        <f t="shared" si="9"/>
        <v>入力済</v>
      </c>
      <c r="AY48" s="547" t="str">
        <f>IFERROR(VLOOKUP(K48,【参考】数式用!$AR$3:$AS$49, 2, FALSE), "")</f>
        <v/>
      </c>
      <c r="AZ48" s="545" t="str">
        <f t="shared" si="10"/>
        <v/>
      </c>
      <c r="BA48" s="548" t="str">
        <f t="shared" si="21"/>
        <v>入力済</v>
      </c>
      <c r="BB48" s="547" t="str">
        <f>IFERROR(VLOOKUP(K48,【参考】数式用!$AX$3:$AY$56, 2, FALSE), "")</f>
        <v/>
      </c>
      <c r="BC48" s="545" t="str">
        <f t="shared" si="11"/>
        <v/>
      </c>
      <c r="BD48" s="548" t="str">
        <f t="shared" si="36"/>
        <v>入力済</v>
      </c>
      <c r="BE48" s="548" t="str">
        <f t="shared" si="12"/>
        <v/>
      </c>
      <c r="BF48" s="548" t="str">
        <f t="shared" si="13"/>
        <v/>
      </c>
      <c r="BG48" s="548" t="str">
        <f t="shared" si="14"/>
        <v/>
      </c>
      <c r="BH48" s="548" t="str">
        <f t="shared" si="15"/>
        <v/>
      </c>
      <c r="BI48" s="548" t="str">
        <f t="shared" si="16"/>
        <v/>
      </c>
      <c r="BM48" s="634" t="e">
        <f>VLOOKUP(K48,【参考】数式用!$A$2:$O$57,15,FALSE)</f>
        <v>#N/A</v>
      </c>
    </row>
    <row r="49" spans="1:65" ht="109.9" customHeight="1" thickBot="1">
      <c r="A49" s="454">
        <v>38</v>
      </c>
      <c r="B49" s="933" t="str">
        <f>IF(基本情報入力シート!B77="","",基本情報入力シート!B77)</f>
        <v/>
      </c>
      <c r="C49" s="934"/>
      <c r="D49" s="934"/>
      <c r="E49" s="934"/>
      <c r="F49" s="935"/>
      <c r="G49" s="455" t="str">
        <f>IF(基本情報入力シート!L77="", "", 基本情報入力シート!L77)</f>
        <v/>
      </c>
      <c r="H49" s="455" t="str">
        <f>IF(基本情報入力シート!Q77="", "", 基本情報入力シート!Q77)</f>
        <v/>
      </c>
      <c r="I49" s="455" t="str">
        <f>IF(基本情報入力シート!V77="", "", 基本情報入力シート!V77)</f>
        <v/>
      </c>
      <c r="J49" s="455" t="str">
        <f>IF(基本情報入力シート!W77="", "", 基本情報入力シート!W77)</f>
        <v/>
      </c>
      <c r="K49" s="455" t="str">
        <f>IF(基本情報入力シート!Z77="", "", 基本情報入力シート!Z77)</f>
        <v/>
      </c>
      <c r="L49" s="101" t="str">
        <f>IF(基本情報入力シート!AF77=0, "",基本情報入力シート!AF77)</f>
        <v/>
      </c>
      <c r="M49" s="142" t="str">
        <f>IF(AND(基本情報入力シート!AG77="",基本情報入力シート!AG77=""), "", 基本情報入力シート!AG77)</f>
        <v/>
      </c>
      <c r="N49" s="136"/>
      <c r="O49" s="155" t="str">
        <f>IFERROR(VLOOKUP(K49,【参考】数式用!$A$2:$M$57,MATCH(N49,【参考】数式用!$G$3:$M$3,0)+6,0),"")</f>
        <v/>
      </c>
      <c r="P49" s="456" t="s">
        <v>180</v>
      </c>
      <c r="Q49" s="141"/>
      <c r="R49" s="457" t="s">
        <v>271</v>
      </c>
      <c r="S49" s="141"/>
      <c r="T49" s="457" t="s">
        <v>272</v>
      </c>
      <c r="U49" s="141"/>
      <c r="V49" s="457" t="s">
        <v>271</v>
      </c>
      <c r="W49" s="141"/>
      <c r="X49" s="457" t="s">
        <v>273</v>
      </c>
      <c r="Y49" s="457" t="s">
        <v>274</v>
      </c>
      <c r="Z49" s="457" t="str">
        <f t="shared" si="0"/>
        <v/>
      </c>
      <c r="AA49" s="458" t="s">
        <v>275</v>
      </c>
      <c r="AB49" s="459" t="str">
        <f t="shared" si="1"/>
        <v/>
      </c>
      <c r="AC49" s="460" t="str">
        <f>IFERROR(ROUNDDOWN(ROUNDDOWN(ROUND(L49*VLOOKUP(K49,【参考】数式用!$A$2:$M$57,MATCH("処遇改善加算Ⅳ",【参考】数式用!$G$3:$M$3,0)+6,0),0)*M49,0)*Z49*0.5,0), "")</f>
        <v/>
      </c>
      <c r="AD49" s="156"/>
      <c r="AE49" s="157"/>
      <c r="AF49" s="157"/>
      <c r="AG49" s="158"/>
      <c r="AH49" s="159"/>
      <c r="AI49" s="160"/>
      <c r="AJ49" s="161"/>
      <c r="AK49" s="542" t="str">
        <f>IF(AND(N49&lt;&gt;"", OR(U49&lt;&gt;9,W49&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IF(AND(AN49="加算対象外",N49&lt;&gt;"",AE49="―",AJ49="―"),"このサービスについては、キャリアパス要件Ⅰ・Ⅱか令和８年度特例要件のどちらかの要件を満たしている必要があります",""))</f>
        <v/>
      </c>
      <c r="AL49" s="543" t="str">
        <f>IF(N49="","",IF(OR(AND(COUNTIF(AP49,"未入力")&gt;0,AD49=""),AND(COUNTBLANK(AP49)&gt;0,AE49=""),AND(COUNTIF(AN49:BD49,"AF列に色付け")&gt;0,AF49=""),AND(COUNTIF(AN49:BD49,"AG列に色付け")&gt;0,OR(AG49="",AG49=0)),AND(COUNTIF(AN49:BD49,"AH列に色付け")&gt;0,AH49=""),AND(COUNTIF(AN49:BD49,"AI列に色付け")&gt;0,AI49=""),AND(COUNTIF(AN49:BD49,"AJ列に色付け")&gt;0,AJ49="",NOT(OR(BE49="AJ列色消し",BF49="AJ列色消し")))),"！記入が必要な欄（オレンジ色のセル）に空欄があります。空欄を埋めてください。",""))</f>
        <v/>
      </c>
      <c r="AM49" s="544"/>
      <c r="AN49" s="545" t="str">
        <f>IFERROR(VLOOKUP(K49,【参考】数式用!$A$2:$N$57,14,FALSE),"")</f>
        <v/>
      </c>
      <c r="AO49" s="545" t="str">
        <f t="shared" si="3"/>
        <v/>
      </c>
      <c r="AP49" s="546" t="str">
        <f t="shared" si="18"/>
        <v/>
      </c>
      <c r="AQ49" s="546" t="str">
        <f t="shared" si="19"/>
        <v>キャリアパス要件Ⅰ・Ⅱ_</v>
      </c>
      <c r="AR49" s="547" t="str">
        <f t="shared" si="20"/>
        <v>入力済</v>
      </c>
      <c r="AS49" s="545" t="str">
        <f t="shared" si="4"/>
        <v/>
      </c>
      <c r="AT49" s="547" t="str">
        <f t="shared" si="5"/>
        <v>入力済</v>
      </c>
      <c r="AU49" s="547" t="str">
        <f t="shared" si="6"/>
        <v/>
      </c>
      <c r="AV49" s="547" t="str">
        <f t="shared" si="7"/>
        <v/>
      </c>
      <c r="AW49" s="545" t="str">
        <f t="shared" si="8"/>
        <v/>
      </c>
      <c r="AX49" s="545" t="str">
        <f t="shared" si="9"/>
        <v>入力済</v>
      </c>
      <c r="AY49" s="547" t="str">
        <f>IFERROR(VLOOKUP(K49,【参考】数式用!$AR$3:$AS$49, 2, FALSE), "")</f>
        <v/>
      </c>
      <c r="AZ49" s="545" t="str">
        <f t="shared" si="10"/>
        <v/>
      </c>
      <c r="BA49" s="548" t="str">
        <f>IF(AND(OR(N49="処遇改善加算Ⅰイ",N49="処遇改善加算Ⅰロ"), AI49=""), "未入力","入力済")</f>
        <v>入力済</v>
      </c>
      <c r="BB49" s="547" t="str">
        <f>IFERROR(VLOOKUP(K49,【参考】数式用!$AX$3:$AY$56, 2, FALSE), "")</f>
        <v/>
      </c>
      <c r="BC49" s="545" t="str">
        <f t="shared" si="11"/>
        <v/>
      </c>
      <c r="BD49" s="548" t="str">
        <f>IF(AND(COUNTIF(AE49:AH49,"*令和８年度特例要件を*")&gt;0,AJ49=""), "未入力","入力済")</f>
        <v>入力済</v>
      </c>
      <c r="BE49" s="548" t="str">
        <f t="shared" si="12"/>
        <v/>
      </c>
      <c r="BF49" s="548" t="str">
        <f t="shared" si="13"/>
        <v/>
      </c>
      <c r="BG49" s="548" t="str">
        <f t="shared" si="14"/>
        <v/>
      </c>
      <c r="BH49" s="548" t="str">
        <f>IF(AND(BE49="",BG49="入力必要"),IF(AJ49="","未入力","入力済"),"")</f>
        <v/>
      </c>
      <c r="BI49" s="548" t="str">
        <f t="shared" si="16"/>
        <v/>
      </c>
      <c r="BM49" s="634" t="e">
        <f>VLOOKUP(K49,【参考】数式用!$A$2:$O$57,15,FALSE)</f>
        <v>#N/A</v>
      </c>
    </row>
    <row r="50" spans="1:65" ht="109.9" customHeight="1" thickBot="1">
      <c r="A50" s="454">
        <v>39</v>
      </c>
      <c r="B50" s="933" t="str">
        <f>IF(基本情報入力シート!B78="","",基本情報入力シート!B78)</f>
        <v/>
      </c>
      <c r="C50" s="934"/>
      <c r="D50" s="934"/>
      <c r="E50" s="934"/>
      <c r="F50" s="935"/>
      <c r="G50" s="455" t="str">
        <f>IF(基本情報入力シート!L78="", "", 基本情報入力シート!L78)</f>
        <v/>
      </c>
      <c r="H50" s="455" t="str">
        <f>IF(基本情報入力シート!Q78="", "", 基本情報入力シート!Q78)</f>
        <v/>
      </c>
      <c r="I50" s="455" t="str">
        <f>IF(基本情報入力シート!V78="", "", 基本情報入力シート!V78)</f>
        <v/>
      </c>
      <c r="J50" s="455" t="str">
        <f>IF(基本情報入力シート!W78="", "", 基本情報入力シート!W78)</f>
        <v/>
      </c>
      <c r="K50" s="455" t="str">
        <f>IF(基本情報入力シート!Z78="", "", 基本情報入力シート!Z78)</f>
        <v/>
      </c>
      <c r="L50" s="101" t="str">
        <f>IF(基本情報入力シート!AF78=0, "",基本情報入力シート!AF78)</f>
        <v/>
      </c>
      <c r="M50" s="142" t="str">
        <f>IF(AND(基本情報入力シート!AG78="",基本情報入力シート!AG78=""), "", 基本情報入力シート!AG78)</f>
        <v/>
      </c>
      <c r="N50" s="136"/>
      <c r="O50" s="155" t="str">
        <f>IFERROR(VLOOKUP(K50,【参考】数式用!$A$2:$M$57,MATCH(N50,【参考】数式用!$G$3:$M$3,0)+6,0),"")</f>
        <v/>
      </c>
      <c r="P50" s="456" t="s">
        <v>180</v>
      </c>
      <c r="Q50" s="141"/>
      <c r="R50" s="457" t="s">
        <v>271</v>
      </c>
      <c r="S50" s="141"/>
      <c r="T50" s="457" t="s">
        <v>272</v>
      </c>
      <c r="U50" s="141"/>
      <c r="V50" s="457" t="s">
        <v>271</v>
      </c>
      <c r="W50" s="141"/>
      <c r="X50" s="457" t="s">
        <v>273</v>
      </c>
      <c r="Y50" s="457" t="s">
        <v>274</v>
      </c>
      <c r="Z50" s="457" t="str">
        <f t="shared" si="0"/>
        <v/>
      </c>
      <c r="AA50" s="458" t="s">
        <v>275</v>
      </c>
      <c r="AB50" s="459" t="str">
        <f t="shared" si="1"/>
        <v/>
      </c>
      <c r="AC50" s="460" t="str">
        <f>IFERROR(ROUNDDOWN(ROUNDDOWN(ROUND(L50*VLOOKUP(K50,【参考】数式用!$A$2:$M$57,MATCH("処遇改善加算Ⅳ",【参考】数式用!$G$3:$M$3,0)+6,0),0)*M50,0)*Z50*0.5,0), "")</f>
        <v/>
      </c>
      <c r="AD50" s="156"/>
      <c r="AE50" s="157"/>
      <c r="AF50" s="157"/>
      <c r="AG50" s="158"/>
      <c r="AH50" s="159"/>
      <c r="AI50" s="160"/>
      <c r="AJ50" s="161"/>
      <c r="AK50" s="542" t="str">
        <f t="shared" si="17"/>
        <v/>
      </c>
      <c r="AL50" s="543" t="str">
        <f t="shared" si="2"/>
        <v/>
      </c>
      <c r="AM50" s="544"/>
      <c r="AN50" s="545" t="str">
        <f>IFERROR(VLOOKUP(K50,【参考】数式用!$A$2:$N$57,14,FALSE),"")</f>
        <v/>
      </c>
      <c r="AO50" s="545" t="str">
        <f t="shared" si="3"/>
        <v/>
      </c>
      <c r="AP50" s="546" t="str">
        <f t="shared" si="18"/>
        <v/>
      </c>
      <c r="AQ50" s="546" t="str">
        <f t="shared" si="19"/>
        <v>キャリアパス要件Ⅰ・Ⅱ_</v>
      </c>
      <c r="AR50" s="547" t="str">
        <f t="shared" si="20"/>
        <v>入力済</v>
      </c>
      <c r="AS50" s="545" t="str">
        <f t="shared" si="4"/>
        <v/>
      </c>
      <c r="AT50" s="547" t="str">
        <f t="shared" si="5"/>
        <v>入力済</v>
      </c>
      <c r="AU50" s="547" t="str">
        <f t="shared" si="6"/>
        <v/>
      </c>
      <c r="AV50" s="547" t="str">
        <f t="shared" si="7"/>
        <v/>
      </c>
      <c r="AW50" s="545" t="str">
        <f t="shared" si="8"/>
        <v/>
      </c>
      <c r="AX50" s="545" t="str">
        <f t="shared" si="9"/>
        <v>入力済</v>
      </c>
      <c r="AY50" s="547" t="str">
        <f>IFERROR(VLOOKUP(K50,【参考】数式用!$AR$3:$AS$49, 2, FALSE), "")</f>
        <v/>
      </c>
      <c r="AZ50" s="545" t="str">
        <f t="shared" si="10"/>
        <v/>
      </c>
      <c r="BA50" s="548" t="str">
        <f t="shared" si="21"/>
        <v>入力済</v>
      </c>
      <c r="BB50" s="547" t="str">
        <f>IFERROR(VLOOKUP(K50,【参考】数式用!$AX$3:$AY$56, 2, FALSE), "")</f>
        <v/>
      </c>
      <c r="BC50" s="545" t="str">
        <f t="shared" si="11"/>
        <v/>
      </c>
      <c r="BD50" s="548" t="str">
        <f t="shared" si="36"/>
        <v>入力済</v>
      </c>
      <c r="BE50" s="548" t="str">
        <f t="shared" si="12"/>
        <v/>
      </c>
      <c r="BF50" s="548" t="str">
        <f t="shared" si="13"/>
        <v/>
      </c>
      <c r="BG50" s="548" t="str">
        <f t="shared" si="14"/>
        <v/>
      </c>
      <c r="BH50" s="548" t="str">
        <f t="shared" si="15"/>
        <v/>
      </c>
      <c r="BI50" s="548" t="str">
        <f t="shared" si="16"/>
        <v/>
      </c>
      <c r="BM50" s="634" t="e">
        <f>VLOOKUP(K50,【参考】数式用!$A$2:$O$57,15,FALSE)</f>
        <v>#N/A</v>
      </c>
    </row>
    <row r="51" spans="1:65" ht="109.9" customHeight="1" thickBot="1">
      <c r="A51" s="454">
        <v>40</v>
      </c>
      <c r="B51" s="933" t="str">
        <f>IF(基本情報入力シート!B79="","",基本情報入力シート!B79)</f>
        <v/>
      </c>
      <c r="C51" s="934"/>
      <c r="D51" s="934"/>
      <c r="E51" s="934"/>
      <c r="F51" s="935"/>
      <c r="G51" s="455" t="str">
        <f>IF(基本情報入力シート!L79="", "", 基本情報入力シート!L79)</f>
        <v/>
      </c>
      <c r="H51" s="455" t="str">
        <f>IF(基本情報入力シート!Q79="", "", 基本情報入力シート!Q79)</f>
        <v/>
      </c>
      <c r="I51" s="455" t="str">
        <f>IF(基本情報入力シート!V79="", "", 基本情報入力シート!V79)</f>
        <v/>
      </c>
      <c r="J51" s="455" t="str">
        <f>IF(基本情報入力シート!W79="", "", 基本情報入力シート!W79)</f>
        <v/>
      </c>
      <c r="K51" s="455" t="str">
        <f>IF(基本情報入力シート!Z79="", "", 基本情報入力シート!Z79)</f>
        <v/>
      </c>
      <c r="L51" s="101" t="str">
        <f>IF(基本情報入力シート!AF79=0, "",基本情報入力シート!AF79)</f>
        <v/>
      </c>
      <c r="M51" s="142" t="str">
        <f>IF(AND(基本情報入力シート!AG79="",基本情報入力シート!AG79=""), "", 基本情報入力シート!AG79)</f>
        <v/>
      </c>
      <c r="N51" s="136"/>
      <c r="O51" s="155" t="str">
        <f>IFERROR(VLOOKUP(K51,【参考】数式用!$A$2:$M$57,MATCH(N51,【参考】数式用!$G$3:$M$3,0)+6,0),"")</f>
        <v/>
      </c>
      <c r="P51" s="456" t="s">
        <v>180</v>
      </c>
      <c r="Q51" s="141"/>
      <c r="R51" s="457" t="s">
        <v>271</v>
      </c>
      <c r="S51" s="141"/>
      <c r="T51" s="457" t="s">
        <v>272</v>
      </c>
      <c r="U51" s="141"/>
      <c r="V51" s="457" t="s">
        <v>271</v>
      </c>
      <c r="W51" s="141"/>
      <c r="X51" s="457" t="s">
        <v>273</v>
      </c>
      <c r="Y51" s="457" t="s">
        <v>274</v>
      </c>
      <c r="Z51" s="457" t="str">
        <f t="shared" si="0"/>
        <v/>
      </c>
      <c r="AA51" s="458" t="s">
        <v>275</v>
      </c>
      <c r="AB51" s="459" t="str">
        <f t="shared" si="1"/>
        <v/>
      </c>
      <c r="AC51" s="460" t="str">
        <f>IFERROR(ROUNDDOWN(ROUNDDOWN(ROUND(L51*VLOOKUP(K51,【参考】数式用!$A$2:$M$57,MATCH("処遇改善加算Ⅳ",【参考】数式用!$G$3:$M$3,0)+6,0),0)*M51,0)*Z51*0.5,0), "")</f>
        <v/>
      </c>
      <c r="AD51" s="156"/>
      <c r="AE51" s="157"/>
      <c r="AF51" s="157"/>
      <c r="AG51" s="158"/>
      <c r="AH51" s="159"/>
      <c r="AI51" s="160"/>
      <c r="AJ51" s="161"/>
      <c r="AK51" s="542" t="str">
        <f t="shared" si="17"/>
        <v/>
      </c>
      <c r="AL51" s="543" t="str">
        <f t="shared" si="2"/>
        <v/>
      </c>
      <c r="AM51" s="544"/>
      <c r="AN51" s="545" t="str">
        <f>IFERROR(VLOOKUP(K51,【参考】数式用!$A$2:$N$57,14,FALSE),"")</f>
        <v/>
      </c>
      <c r="AO51" s="545" t="str">
        <f t="shared" si="3"/>
        <v/>
      </c>
      <c r="AP51" s="546" t="str">
        <f t="shared" si="18"/>
        <v/>
      </c>
      <c r="AQ51" s="546" t="str">
        <f t="shared" si="19"/>
        <v>キャリアパス要件Ⅰ・Ⅱ_</v>
      </c>
      <c r="AR51" s="547" t="str">
        <f t="shared" si="20"/>
        <v>入力済</v>
      </c>
      <c r="AS51" s="545" t="str">
        <f t="shared" si="4"/>
        <v/>
      </c>
      <c r="AT51" s="547" t="str">
        <f t="shared" si="5"/>
        <v>入力済</v>
      </c>
      <c r="AU51" s="547" t="str">
        <f t="shared" si="6"/>
        <v/>
      </c>
      <c r="AV51" s="547" t="str">
        <f t="shared" si="7"/>
        <v/>
      </c>
      <c r="AW51" s="545" t="str">
        <f t="shared" si="8"/>
        <v/>
      </c>
      <c r="AX51" s="545" t="str">
        <f t="shared" si="9"/>
        <v>入力済</v>
      </c>
      <c r="AY51" s="547" t="str">
        <f>IFERROR(VLOOKUP(K51,【参考】数式用!$AR$3:$AS$49, 2, FALSE), "")</f>
        <v/>
      </c>
      <c r="AZ51" s="545" t="str">
        <f t="shared" si="10"/>
        <v/>
      </c>
      <c r="BA51" s="548" t="str">
        <f t="shared" si="21"/>
        <v>入力済</v>
      </c>
      <c r="BB51" s="547" t="str">
        <f>IFERROR(VLOOKUP(K51,【参考】数式用!$AX$3:$AY$56, 2, FALSE), "")</f>
        <v/>
      </c>
      <c r="BC51" s="545" t="str">
        <f t="shared" si="11"/>
        <v/>
      </c>
      <c r="BD51" s="548" t="str">
        <f t="shared" si="36"/>
        <v>入力済</v>
      </c>
      <c r="BE51" s="548" t="str">
        <f t="shared" si="12"/>
        <v/>
      </c>
      <c r="BF51" s="548" t="str">
        <f t="shared" si="13"/>
        <v/>
      </c>
      <c r="BG51" s="548" t="str">
        <f t="shared" si="14"/>
        <v/>
      </c>
      <c r="BH51" s="548" t="str">
        <f t="shared" si="15"/>
        <v/>
      </c>
      <c r="BI51" s="548" t="str">
        <f t="shared" si="16"/>
        <v/>
      </c>
      <c r="BM51" s="634" t="e">
        <f>VLOOKUP(K51,【参考】数式用!$A$2:$O$57,15,FALSE)</f>
        <v>#N/A</v>
      </c>
    </row>
    <row r="52" spans="1:65" ht="109.9" customHeight="1" thickBot="1">
      <c r="A52" s="454">
        <v>41</v>
      </c>
      <c r="B52" s="933" t="str">
        <f>IF(基本情報入力シート!B80="","",基本情報入力シート!B80)</f>
        <v/>
      </c>
      <c r="C52" s="934"/>
      <c r="D52" s="934"/>
      <c r="E52" s="934"/>
      <c r="F52" s="935"/>
      <c r="G52" s="455" t="str">
        <f>IF(基本情報入力シート!L80="", "", 基本情報入力シート!L80)</f>
        <v/>
      </c>
      <c r="H52" s="455" t="str">
        <f>IF(基本情報入力シート!Q80="", "", 基本情報入力シート!Q80)</f>
        <v/>
      </c>
      <c r="I52" s="455" t="str">
        <f>IF(基本情報入力シート!V80="", "", 基本情報入力シート!V80)</f>
        <v/>
      </c>
      <c r="J52" s="455" t="str">
        <f>IF(基本情報入力シート!W80="", "", 基本情報入力シート!W80)</f>
        <v/>
      </c>
      <c r="K52" s="455" t="str">
        <f>IF(基本情報入力シート!Z80="", "", 基本情報入力シート!Z80)</f>
        <v/>
      </c>
      <c r="L52" s="101" t="str">
        <f>IF(基本情報入力シート!AF80=0, "",基本情報入力シート!AF80)</f>
        <v/>
      </c>
      <c r="M52" s="142" t="str">
        <f>IF(AND(基本情報入力シート!AG80="",基本情報入力シート!AG80=""), "", 基本情報入力シート!AG80)</f>
        <v/>
      </c>
      <c r="N52" s="136"/>
      <c r="O52" s="155" t="str">
        <f>IFERROR(VLOOKUP(K52,【参考】数式用!$A$2:$M$57,MATCH(N52,【参考】数式用!$G$3:$M$3,0)+6,0),"")</f>
        <v/>
      </c>
      <c r="P52" s="456" t="s">
        <v>180</v>
      </c>
      <c r="Q52" s="141"/>
      <c r="R52" s="457" t="s">
        <v>271</v>
      </c>
      <c r="S52" s="141"/>
      <c r="T52" s="457" t="s">
        <v>272</v>
      </c>
      <c r="U52" s="141"/>
      <c r="V52" s="457" t="s">
        <v>271</v>
      </c>
      <c r="W52" s="141"/>
      <c r="X52" s="457" t="s">
        <v>182</v>
      </c>
      <c r="Y52" s="457" t="s">
        <v>274</v>
      </c>
      <c r="Z52" s="457" t="str">
        <f t="shared" si="0"/>
        <v/>
      </c>
      <c r="AA52" s="458" t="s">
        <v>275</v>
      </c>
      <c r="AB52" s="459" t="str">
        <f t="shared" si="1"/>
        <v/>
      </c>
      <c r="AC52" s="460" t="str">
        <f>IFERROR(ROUNDDOWN(ROUNDDOWN(ROUND(L52*VLOOKUP(K52,【参考】数式用!$A$2:$M$57,MATCH("処遇改善加算Ⅳ",【参考】数式用!$G$3:$M$3,0)+6,0),0)*M52,0)*Z52*0.5,0), "")</f>
        <v/>
      </c>
      <c r="AD52" s="156"/>
      <c r="AE52" s="157"/>
      <c r="AF52" s="157"/>
      <c r="AG52" s="158"/>
      <c r="AH52" s="159"/>
      <c r="AI52" s="160"/>
      <c r="AJ52" s="161"/>
      <c r="AK52" s="542" t="str">
        <f t="shared" si="17"/>
        <v/>
      </c>
      <c r="AL52" s="543" t="str">
        <f t="shared" si="2"/>
        <v/>
      </c>
      <c r="AM52" s="544"/>
      <c r="AN52" s="545" t="str">
        <f>IFERROR(VLOOKUP(K52,【参考】数式用!$A$2:$N$57,14,FALSE),"")</f>
        <v/>
      </c>
      <c r="AO52" s="545" t="str">
        <f t="shared" si="3"/>
        <v/>
      </c>
      <c r="AP52" s="546" t="str">
        <f t="shared" si="18"/>
        <v/>
      </c>
      <c r="AQ52" s="546" t="str">
        <f t="shared" si="19"/>
        <v>キャリアパス要件Ⅰ・Ⅱ_</v>
      </c>
      <c r="AR52" s="547" t="str">
        <f t="shared" si="20"/>
        <v>入力済</v>
      </c>
      <c r="AS52" s="545" t="str">
        <f t="shared" si="4"/>
        <v/>
      </c>
      <c r="AT52" s="547" t="str">
        <f t="shared" si="5"/>
        <v>入力済</v>
      </c>
      <c r="AU52" s="547" t="str">
        <f t="shared" si="6"/>
        <v/>
      </c>
      <c r="AV52" s="547" t="str">
        <f t="shared" si="7"/>
        <v/>
      </c>
      <c r="AW52" s="545" t="str">
        <f t="shared" si="8"/>
        <v/>
      </c>
      <c r="AX52" s="545" t="str">
        <f t="shared" si="9"/>
        <v>入力済</v>
      </c>
      <c r="AY52" s="547" t="str">
        <f>IFERROR(VLOOKUP(K52,【参考】数式用!$AR$3:$AS$49, 2, FALSE), "")</f>
        <v/>
      </c>
      <c r="AZ52" s="545" t="str">
        <f t="shared" si="10"/>
        <v/>
      </c>
      <c r="BA52" s="548" t="str">
        <f t="shared" si="21"/>
        <v>入力済</v>
      </c>
      <c r="BB52" s="547" t="str">
        <f>IFERROR(VLOOKUP(K52,【参考】数式用!$AX$3:$AY$56, 2, FALSE), "")</f>
        <v/>
      </c>
      <c r="BC52" s="545" t="str">
        <f t="shared" si="11"/>
        <v/>
      </c>
      <c r="BD52" s="548" t="str">
        <f t="shared" si="36"/>
        <v>入力済</v>
      </c>
      <c r="BE52" s="548" t="str">
        <f t="shared" si="12"/>
        <v/>
      </c>
      <c r="BF52" s="548" t="str">
        <f t="shared" si="13"/>
        <v/>
      </c>
      <c r="BG52" s="548" t="str">
        <f t="shared" si="14"/>
        <v/>
      </c>
      <c r="BH52" s="548" t="str">
        <f t="shared" si="15"/>
        <v/>
      </c>
      <c r="BI52" s="548" t="str">
        <f t="shared" si="16"/>
        <v/>
      </c>
      <c r="BM52" s="634" t="e">
        <f>VLOOKUP(K52,【参考】数式用!$A$2:$O$57,15,FALSE)</f>
        <v>#N/A</v>
      </c>
    </row>
    <row r="53" spans="1:65" ht="109.9" customHeight="1" thickBot="1">
      <c r="A53" s="454">
        <v>42</v>
      </c>
      <c r="B53" s="933" t="str">
        <f>IF(基本情報入力シート!B81="","",基本情報入力シート!B81)</f>
        <v/>
      </c>
      <c r="C53" s="934"/>
      <c r="D53" s="934"/>
      <c r="E53" s="934"/>
      <c r="F53" s="935"/>
      <c r="G53" s="455" t="str">
        <f>IF(基本情報入力シート!L81="", "", 基本情報入力シート!L81)</f>
        <v/>
      </c>
      <c r="H53" s="455" t="str">
        <f>IF(基本情報入力シート!Q81="", "", 基本情報入力シート!Q81)</f>
        <v/>
      </c>
      <c r="I53" s="455" t="str">
        <f>IF(基本情報入力シート!V81="", "", 基本情報入力シート!V81)</f>
        <v/>
      </c>
      <c r="J53" s="455" t="str">
        <f>IF(基本情報入力シート!W81="", "", 基本情報入力シート!W81)</f>
        <v/>
      </c>
      <c r="K53" s="455" t="str">
        <f>IF(基本情報入力シート!Z81="", "", 基本情報入力シート!Z81)</f>
        <v/>
      </c>
      <c r="L53" s="101" t="str">
        <f>IF(基本情報入力シート!AF81=0, "",基本情報入力シート!AF81)</f>
        <v/>
      </c>
      <c r="M53" s="142" t="str">
        <f>IF(AND(基本情報入力シート!AG81="",基本情報入力シート!AG81=""), "", 基本情報入力シート!AG81)</f>
        <v/>
      </c>
      <c r="N53" s="136"/>
      <c r="O53" s="155" t="str">
        <f>IFERROR(VLOOKUP(K53,【参考】数式用!$A$2:$M$57,MATCH(N53,【参考】数式用!$G$3:$M$3,0)+6,0),"")</f>
        <v/>
      </c>
      <c r="P53" s="456" t="s">
        <v>180</v>
      </c>
      <c r="Q53" s="141"/>
      <c r="R53" s="457" t="s">
        <v>271</v>
      </c>
      <c r="S53" s="141"/>
      <c r="T53" s="457" t="s">
        <v>272</v>
      </c>
      <c r="U53" s="141"/>
      <c r="V53" s="457" t="s">
        <v>271</v>
      </c>
      <c r="W53" s="141"/>
      <c r="X53" s="457" t="s">
        <v>182</v>
      </c>
      <c r="Y53" s="457" t="s">
        <v>274</v>
      </c>
      <c r="Z53" s="457" t="str">
        <f t="shared" si="0"/>
        <v/>
      </c>
      <c r="AA53" s="458" t="s">
        <v>275</v>
      </c>
      <c r="AB53" s="459" t="str">
        <f t="shared" si="1"/>
        <v/>
      </c>
      <c r="AC53" s="460" t="str">
        <f>IFERROR(ROUNDDOWN(ROUNDDOWN(ROUND(L53*VLOOKUP(K53,【参考】数式用!$A$2:$M$57,MATCH("処遇改善加算Ⅳ",【参考】数式用!$G$3:$M$3,0)+6,0),0)*M53,0)*Z53*0.5,0), "")</f>
        <v/>
      </c>
      <c r="AD53" s="156"/>
      <c r="AE53" s="157"/>
      <c r="AF53" s="157"/>
      <c r="AG53" s="158"/>
      <c r="AH53" s="159"/>
      <c r="AI53" s="160"/>
      <c r="AJ53" s="161"/>
      <c r="AK53" s="542" t="str">
        <f t="shared" si="17"/>
        <v/>
      </c>
      <c r="AL53" s="543" t="str">
        <f t="shared" si="2"/>
        <v/>
      </c>
      <c r="AM53" s="544"/>
      <c r="AN53" s="545" t="str">
        <f>IFERROR(VLOOKUP(K53,【参考】数式用!$A$2:$N$57,14,FALSE),"")</f>
        <v/>
      </c>
      <c r="AO53" s="545" t="str">
        <f t="shared" si="3"/>
        <v/>
      </c>
      <c r="AP53" s="546" t="str">
        <f t="shared" si="18"/>
        <v/>
      </c>
      <c r="AQ53" s="546" t="str">
        <f t="shared" si="19"/>
        <v>キャリアパス要件Ⅰ・Ⅱ_</v>
      </c>
      <c r="AR53" s="547" t="str">
        <f t="shared" si="20"/>
        <v>入力済</v>
      </c>
      <c r="AS53" s="545" t="str">
        <f t="shared" si="4"/>
        <v/>
      </c>
      <c r="AT53" s="547" t="str">
        <f t="shared" si="5"/>
        <v>入力済</v>
      </c>
      <c r="AU53" s="547" t="str">
        <f t="shared" si="6"/>
        <v/>
      </c>
      <c r="AV53" s="547" t="str">
        <f t="shared" si="7"/>
        <v/>
      </c>
      <c r="AW53" s="545" t="str">
        <f t="shared" si="8"/>
        <v/>
      </c>
      <c r="AX53" s="545" t="str">
        <f t="shared" si="9"/>
        <v>入力済</v>
      </c>
      <c r="AY53" s="547" t="str">
        <f>IFERROR(VLOOKUP(K53,【参考】数式用!$AR$3:$AS$49, 2, FALSE), "")</f>
        <v/>
      </c>
      <c r="AZ53" s="545" t="str">
        <f t="shared" si="10"/>
        <v/>
      </c>
      <c r="BA53" s="548" t="str">
        <f t="shared" si="21"/>
        <v>入力済</v>
      </c>
      <c r="BB53" s="547" t="str">
        <f>IFERROR(VLOOKUP(K53,【参考】数式用!$AX$3:$AY$56, 2, FALSE), "")</f>
        <v/>
      </c>
      <c r="BC53" s="545" t="str">
        <f t="shared" si="11"/>
        <v/>
      </c>
      <c r="BD53" s="548" t="str">
        <f t="shared" si="36"/>
        <v>入力済</v>
      </c>
      <c r="BE53" s="548" t="str">
        <f t="shared" si="12"/>
        <v/>
      </c>
      <c r="BF53" s="548" t="str">
        <f t="shared" si="13"/>
        <v/>
      </c>
      <c r="BG53" s="548" t="str">
        <f t="shared" si="14"/>
        <v/>
      </c>
      <c r="BH53" s="548" t="str">
        <f t="shared" si="15"/>
        <v/>
      </c>
      <c r="BI53" s="548" t="str">
        <f t="shared" si="16"/>
        <v/>
      </c>
      <c r="BM53" s="634" t="e">
        <f>VLOOKUP(K53,【参考】数式用!$A$2:$O$57,15,FALSE)</f>
        <v>#N/A</v>
      </c>
    </row>
    <row r="54" spans="1:65" ht="109.9" customHeight="1" thickBot="1">
      <c r="A54" s="454">
        <v>43</v>
      </c>
      <c r="B54" s="933" t="str">
        <f>IF(基本情報入力シート!B82="","",基本情報入力シート!B82)</f>
        <v/>
      </c>
      <c r="C54" s="934"/>
      <c r="D54" s="934"/>
      <c r="E54" s="934"/>
      <c r="F54" s="935"/>
      <c r="G54" s="455" t="str">
        <f>IF(基本情報入力シート!L82="", "", 基本情報入力シート!L82)</f>
        <v/>
      </c>
      <c r="H54" s="455" t="str">
        <f>IF(基本情報入力シート!Q82="", "", 基本情報入力シート!Q82)</f>
        <v/>
      </c>
      <c r="I54" s="455" t="str">
        <f>IF(基本情報入力シート!V82="", "", 基本情報入力シート!V82)</f>
        <v/>
      </c>
      <c r="J54" s="455" t="str">
        <f>IF(基本情報入力シート!W82="", "", 基本情報入力シート!W82)</f>
        <v/>
      </c>
      <c r="K54" s="455" t="str">
        <f>IF(基本情報入力シート!Z82="", "", 基本情報入力シート!Z82)</f>
        <v/>
      </c>
      <c r="L54" s="101" t="str">
        <f>IF(基本情報入力シート!AF82=0, "",基本情報入力シート!AF82)</f>
        <v/>
      </c>
      <c r="M54" s="142" t="str">
        <f>IF(AND(基本情報入力シート!AG82="",基本情報入力シート!AG82=""), "", 基本情報入力シート!AG82)</f>
        <v/>
      </c>
      <c r="N54" s="136"/>
      <c r="O54" s="155" t="str">
        <f>IFERROR(VLOOKUP(K54,【参考】数式用!$A$2:$M$57,MATCH(N54,【参考】数式用!$G$3:$M$3,0)+6,0),"")</f>
        <v/>
      </c>
      <c r="P54" s="456" t="s">
        <v>180</v>
      </c>
      <c r="Q54" s="141"/>
      <c r="R54" s="457" t="s">
        <v>271</v>
      </c>
      <c r="S54" s="141"/>
      <c r="T54" s="457" t="s">
        <v>272</v>
      </c>
      <c r="U54" s="141"/>
      <c r="V54" s="457" t="s">
        <v>271</v>
      </c>
      <c r="W54" s="141"/>
      <c r="X54" s="457" t="s">
        <v>273</v>
      </c>
      <c r="Y54" s="457" t="s">
        <v>274</v>
      </c>
      <c r="Z54" s="457" t="str">
        <f t="shared" si="0"/>
        <v/>
      </c>
      <c r="AA54" s="458" t="s">
        <v>275</v>
      </c>
      <c r="AB54" s="459" t="str">
        <f t="shared" si="1"/>
        <v/>
      </c>
      <c r="AC54" s="460" t="str">
        <f>IFERROR(ROUNDDOWN(ROUNDDOWN(ROUND(L54*VLOOKUP(K54,【参考】数式用!$A$2:$M$57,MATCH("処遇改善加算Ⅳ",【参考】数式用!$G$3:$M$3,0)+6,0),0)*M54,0)*Z54*0.5,0), "")</f>
        <v/>
      </c>
      <c r="AD54" s="156"/>
      <c r="AE54" s="157"/>
      <c r="AF54" s="157"/>
      <c r="AG54" s="158"/>
      <c r="AH54" s="159"/>
      <c r="AI54" s="160"/>
      <c r="AJ54" s="161"/>
      <c r="AK54" s="542" t="str">
        <f t="shared" si="17"/>
        <v/>
      </c>
      <c r="AL54" s="543" t="str">
        <f t="shared" si="2"/>
        <v/>
      </c>
      <c r="AM54" s="544"/>
      <c r="AN54" s="545" t="str">
        <f>IFERROR(VLOOKUP(K54,【参考】数式用!$A$2:$N$57,14,FALSE),"")</f>
        <v/>
      </c>
      <c r="AO54" s="545" t="str">
        <f t="shared" si="3"/>
        <v/>
      </c>
      <c r="AP54" s="546" t="str">
        <f t="shared" si="18"/>
        <v/>
      </c>
      <c r="AQ54" s="546" t="str">
        <f t="shared" si="19"/>
        <v>キャリアパス要件Ⅰ・Ⅱ_</v>
      </c>
      <c r="AR54" s="547" t="str">
        <f t="shared" si="20"/>
        <v>入力済</v>
      </c>
      <c r="AS54" s="545" t="str">
        <f t="shared" si="4"/>
        <v/>
      </c>
      <c r="AT54" s="547" t="str">
        <f t="shared" si="5"/>
        <v>入力済</v>
      </c>
      <c r="AU54" s="547" t="str">
        <f t="shared" si="6"/>
        <v/>
      </c>
      <c r="AV54" s="547" t="str">
        <f t="shared" si="7"/>
        <v/>
      </c>
      <c r="AW54" s="545" t="str">
        <f t="shared" si="8"/>
        <v/>
      </c>
      <c r="AX54" s="545" t="str">
        <f t="shared" si="9"/>
        <v>入力済</v>
      </c>
      <c r="AY54" s="547" t="str">
        <f>IFERROR(VLOOKUP(K54,【参考】数式用!$AR$3:$AS$49, 2, FALSE), "")</f>
        <v/>
      </c>
      <c r="AZ54" s="545" t="str">
        <f t="shared" si="10"/>
        <v/>
      </c>
      <c r="BA54" s="548" t="str">
        <f t="shared" si="21"/>
        <v>入力済</v>
      </c>
      <c r="BB54" s="547" t="str">
        <f>IFERROR(VLOOKUP(K54,【参考】数式用!$AX$3:$AY$56, 2, FALSE), "")</f>
        <v/>
      </c>
      <c r="BC54" s="545" t="str">
        <f t="shared" si="11"/>
        <v/>
      </c>
      <c r="BD54" s="548" t="str">
        <f t="shared" si="36"/>
        <v>入力済</v>
      </c>
      <c r="BE54" s="548" t="str">
        <f t="shared" si="12"/>
        <v/>
      </c>
      <c r="BF54" s="548" t="str">
        <f t="shared" si="13"/>
        <v/>
      </c>
      <c r="BG54" s="548" t="str">
        <f t="shared" si="14"/>
        <v/>
      </c>
      <c r="BH54" s="548" t="str">
        <f t="shared" si="15"/>
        <v/>
      </c>
      <c r="BI54" s="548" t="str">
        <f t="shared" si="16"/>
        <v/>
      </c>
      <c r="BM54" s="634" t="e">
        <f>VLOOKUP(K54,【参考】数式用!$A$2:$O$57,15,FALSE)</f>
        <v>#N/A</v>
      </c>
    </row>
    <row r="55" spans="1:65" ht="109.9" customHeight="1" thickBot="1">
      <c r="A55" s="454">
        <v>44</v>
      </c>
      <c r="B55" s="933" t="str">
        <f>IF(基本情報入力シート!B83="","",基本情報入力シート!B83)</f>
        <v/>
      </c>
      <c r="C55" s="934"/>
      <c r="D55" s="934"/>
      <c r="E55" s="934"/>
      <c r="F55" s="935"/>
      <c r="G55" s="455" t="str">
        <f>IF(基本情報入力シート!L83="", "", 基本情報入力シート!L83)</f>
        <v/>
      </c>
      <c r="H55" s="455" t="str">
        <f>IF(基本情報入力シート!Q83="", "", 基本情報入力シート!Q83)</f>
        <v/>
      </c>
      <c r="I55" s="455" t="str">
        <f>IF(基本情報入力シート!V83="", "", 基本情報入力シート!V83)</f>
        <v/>
      </c>
      <c r="J55" s="455" t="str">
        <f>IF(基本情報入力シート!W83="", "", 基本情報入力シート!W83)</f>
        <v/>
      </c>
      <c r="K55" s="455" t="str">
        <f>IF(基本情報入力シート!Z83="", "", 基本情報入力シート!Z83)</f>
        <v/>
      </c>
      <c r="L55" s="101" t="str">
        <f>IF(基本情報入力シート!AF83=0, "",基本情報入力シート!AF83)</f>
        <v/>
      </c>
      <c r="M55" s="142" t="str">
        <f>IF(AND(基本情報入力シート!AG83="",基本情報入力シート!AG83=""), "", 基本情報入力シート!AG83)</f>
        <v/>
      </c>
      <c r="N55" s="136"/>
      <c r="O55" s="155" t="str">
        <f>IFERROR(VLOOKUP(K55,【参考】数式用!$A$2:$M$57,MATCH(N55,【参考】数式用!$G$3:$M$3,0)+6,0),"")</f>
        <v/>
      </c>
      <c r="P55" s="456" t="s">
        <v>180</v>
      </c>
      <c r="Q55" s="141"/>
      <c r="R55" s="457" t="s">
        <v>271</v>
      </c>
      <c r="S55" s="141"/>
      <c r="T55" s="457" t="s">
        <v>272</v>
      </c>
      <c r="U55" s="141"/>
      <c r="V55" s="457" t="s">
        <v>271</v>
      </c>
      <c r="W55" s="141"/>
      <c r="X55" s="457" t="s">
        <v>273</v>
      </c>
      <c r="Y55" s="457" t="s">
        <v>274</v>
      </c>
      <c r="Z55" s="457" t="str">
        <f t="shared" si="0"/>
        <v/>
      </c>
      <c r="AA55" s="458" t="s">
        <v>275</v>
      </c>
      <c r="AB55" s="459" t="str">
        <f t="shared" si="1"/>
        <v/>
      </c>
      <c r="AC55" s="460" t="str">
        <f>IFERROR(ROUNDDOWN(ROUNDDOWN(ROUND(L55*VLOOKUP(K55,【参考】数式用!$A$2:$M$57,MATCH("処遇改善加算Ⅳ",【参考】数式用!$G$3:$M$3,0)+6,0),0)*M55,0)*Z55*0.5,0), "")</f>
        <v/>
      </c>
      <c r="AD55" s="156"/>
      <c r="AE55" s="157"/>
      <c r="AF55" s="157"/>
      <c r="AG55" s="158"/>
      <c r="AH55" s="159"/>
      <c r="AI55" s="160"/>
      <c r="AJ55" s="161"/>
      <c r="AK55" s="542" t="str">
        <f t="shared" si="17"/>
        <v/>
      </c>
      <c r="AL55" s="543" t="str">
        <f t="shared" si="2"/>
        <v/>
      </c>
      <c r="AM55" s="544"/>
      <c r="AN55" s="545" t="str">
        <f>IFERROR(VLOOKUP(K55,【参考】数式用!$A$2:$N$57,14,FALSE),"")</f>
        <v/>
      </c>
      <c r="AO55" s="545" t="str">
        <f t="shared" si="3"/>
        <v/>
      </c>
      <c r="AP55" s="546" t="str">
        <f t="shared" si="18"/>
        <v/>
      </c>
      <c r="AQ55" s="546" t="str">
        <f t="shared" si="19"/>
        <v>キャリアパス要件Ⅰ・Ⅱ_</v>
      </c>
      <c r="AR55" s="547" t="str">
        <f t="shared" si="20"/>
        <v>入力済</v>
      </c>
      <c r="AS55" s="545" t="str">
        <f t="shared" si="4"/>
        <v/>
      </c>
      <c r="AT55" s="547" t="str">
        <f t="shared" si="5"/>
        <v>入力済</v>
      </c>
      <c r="AU55" s="547" t="str">
        <f t="shared" si="6"/>
        <v/>
      </c>
      <c r="AV55" s="547" t="str">
        <f t="shared" si="7"/>
        <v/>
      </c>
      <c r="AW55" s="545" t="str">
        <f t="shared" si="8"/>
        <v/>
      </c>
      <c r="AX55" s="545" t="str">
        <f t="shared" si="9"/>
        <v>入力済</v>
      </c>
      <c r="AY55" s="547" t="str">
        <f>IFERROR(VLOOKUP(K55,【参考】数式用!$AR$3:$AS$49, 2, FALSE), "")</f>
        <v/>
      </c>
      <c r="AZ55" s="545" t="str">
        <f t="shared" si="10"/>
        <v/>
      </c>
      <c r="BA55" s="548" t="str">
        <f t="shared" si="21"/>
        <v>入力済</v>
      </c>
      <c r="BB55" s="547" t="str">
        <f>IFERROR(VLOOKUP(K55,【参考】数式用!$AX$3:$AY$56, 2, FALSE), "")</f>
        <v/>
      </c>
      <c r="BC55" s="545" t="str">
        <f t="shared" si="11"/>
        <v/>
      </c>
      <c r="BD55" s="548" t="str">
        <f t="shared" si="36"/>
        <v>入力済</v>
      </c>
      <c r="BE55" s="548" t="str">
        <f t="shared" si="12"/>
        <v/>
      </c>
      <c r="BF55" s="548" t="str">
        <f t="shared" si="13"/>
        <v/>
      </c>
      <c r="BG55" s="548" t="str">
        <f t="shared" si="14"/>
        <v/>
      </c>
      <c r="BH55" s="548" t="str">
        <f t="shared" si="15"/>
        <v/>
      </c>
      <c r="BI55" s="548" t="str">
        <f t="shared" si="16"/>
        <v/>
      </c>
      <c r="BM55" s="634" t="e">
        <f>VLOOKUP(K55,【参考】数式用!$A$2:$O$57,15,FALSE)</f>
        <v>#N/A</v>
      </c>
    </row>
    <row r="56" spans="1:65" ht="109.9" customHeight="1" thickBot="1">
      <c r="A56" s="454">
        <v>45</v>
      </c>
      <c r="B56" s="933" t="str">
        <f>IF(基本情報入力シート!B84="","",基本情報入力シート!B84)</f>
        <v/>
      </c>
      <c r="C56" s="934"/>
      <c r="D56" s="934"/>
      <c r="E56" s="934"/>
      <c r="F56" s="935"/>
      <c r="G56" s="455" t="str">
        <f>IF(基本情報入力シート!L84="", "", 基本情報入力シート!L84)</f>
        <v/>
      </c>
      <c r="H56" s="455" t="str">
        <f>IF(基本情報入力シート!Q84="", "", 基本情報入力シート!Q84)</f>
        <v/>
      </c>
      <c r="I56" s="455" t="str">
        <f>IF(基本情報入力シート!V84="", "", 基本情報入力シート!V84)</f>
        <v/>
      </c>
      <c r="J56" s="455" t="str">
        <f>IF(基本情報入力シート!W84="", "", 基本情報入力シート!W84)</f>
        <v/>
      </c>
      <c r="K56" s="455" t="str">
        <f>IF(基本情報入力シート!Z84="", "", 基本情報入力シート!Z84)</f>
        <v/>
      </c>
      <c r="L56" s="101" t="str">
        <f>IF(基本情報入力シート!AF84=0, "",基本情報入力シート!AF84)</f>
        <v/>
      </c>
      <c r="M56" s="142" t="str">
        <f>IF(AND(基本情報入力シート!AG84="",基本情報入力シート!AG84=""), "", 基本情報入力シート!AG84)</f>
        <v/>
      </c>
      <c r="N56" s="136"/>
      <c r="O56" s="155" t="str">
        <f>IFERROR(VLOOKUP(K56,【参考】数式用!$A$2:$M$57,MATCH(N56,【参考】数式用!$G$3:$M$3,0)+6,0),"")</f>
        <v/>
      </c>
      <c r="P56" s="456" t="s">
        <v>180</v>
      </c>
      <c r="Q56" s="141"/>
      <c r="R56" s="457" t="s">
        <v>271</v>
      </c>
      <c r="S56" s="141"/>
      <c r="T56" s="457" t="s">
        <v>272</v>
      </c>
      <c r="U56" s="141"/>
      <c r="V56" s="457" t="s">
        <v>271</v>
      </c>
      <c r="W56" s="141"/>
      <c r="X56" s="457" t="s">
        <v>273</v>
      </c>
      <c r="Y56" s="457" t="s">
        <v>274</v>
      </c>
      <c r="Z56" s="457" t="str">
        <f t="shared" si="0"/>
        <v/>
      </c>
      <c r="AA56" s="458" t="s">
        <v>275</v>
      </c>
      <c r="AB56" s="459" t="str">
        <f t="shared" si="1"/>
        <v/>
      </c>
      <c r="AC56" s="460" t="str">
        <f>IFERROR(ROUNDDOWN(ROUNDDOWN(ROUND(L56*VLOOKUP(K56,【参考】数式用!$A$2:$M$57,MATCH("処遇改善加算Ⅳ",【参考】数式用!$G$3:$M$3,0)+6,0),0)*M56,0)*Z56*0.5,0), "")</f>
        <v/>
      </c>
      <c r="AD56" s="156"/>
      <c r="AE56" s="157"/>
      <c r="AF56" s="157"/>
      <c r="AG56" s="158"/>
      <c r="AH56" s="159"/>
      <c r="AI56" s="160"/>
      <c r="AJ56" s="161"/>
      <c r="AK56" s="542" t="str">
        <f t="shared" si="17"/>
        <v/>
      </c>
      <c r="AL56" s="543" t="str">
        <f t="shared" si="2"/>
        <v/>
      </c>
      <c r="AM56" s="544"/>
      <c r="AN56" s="545" t="str">
        <f>IFERROR(VLOOKUP(K56,【参考】数式用!$A$2:$N$57,14,FALSE),"")</f>
        <v/>
      </c>
      <c r="AO56" s="545" t="str">
        <f t="shared" si="3"/>
        <v/>
      </c>
      <c r="AP56" s="546" t="str">
        <f t="shared" si="18"/>
        <v/>
      </c>
      <c r="AQ56" s="546" t="str">
        <f t="shared" si="19"/>
        <v>キャリアパス要件Ⅰ・Ⅱ_</v>
      </c>
      <c r="AR56" s="547" t="str">
        <f t="shared" si="20"/>
        <v>入力済</v>
      </c>
      <c r="AS56" s="545" t="str">
        <f t="shared" si="4"/>
        <v/>
      </c>
      <c r="AT56" s="547" t="str">
        <f t="shared" si="5"/>
        <v>入力済</v>
      </c>
      <c r="AU56" s="547" t="str">
        <f t="shared" si="6"/>
        <v/>
      </c>
      <c r="AV56" s="547" t="str">
        <f t="shared" si="7"/>
        <v/>
      </c>
      <c r="AW56" s="545" t="str">
        <f t="shared" si="8"/>
        <v/>
      </c>
      <c r="AX56" s="545" t="str">
        <f t="shared" si="9"/>
        <v>入力済</v>
      </c>
      <c r="AY56" s="547" t="str">
        <f>IFERROR(VLOOKUP(K56,【参考】数式用!$AR$3:$AS$49, 2, FALSE), "")</f>
        <v/>
      </c>
      <c r="AZ56" s="545" t="str">
        <f t="shared" si="10"/>
        <v/>
      </c>
      <c r="BA56" s="548" t="str">
        <f t="shared" si="21"/>
        <v>入力済</v>
      </c>
      <c r="BB56" s="547" t="str">
        <f>IFERROR(VLOOKUP(K56,【参考】数式用!$AX$3:$AY$56, 2, FALSE), "")</f>
        <v/>
      </c>
      <c r="BC56" s="545" t="str">
        <f t="shared" si="11"/>
        <v/>
      </c>
      <c r="BD56" s="548" t="str">
        <f t="shared" si="36"/>
        <v>入力済</v>
      </c>
      <c r="BE56" s="548" t="str">
        <f t="shared" si="12"/>
        <v/>
      </c>
      <c r="BF56" s="548" t="str">
        <f t="shared" si="13"/>
        <v/>
      </c>
      <c r="BG56" s="548" t="str">
        <f t="shared" si="14"/>
        <v/>
      </c>
      <c r="BH56" s="548" t="str">
        <f t="shared" si="15"/>
        <v/>
      </c>
      <c r="BI56" s="548" t="str">
        <f t="shared" si="16"/>
        <v/>
      </c>
      <c r="BM56" s="634" t="e">
        <f>VLOOKUP(K56,【参考】数式用!$A$2:$O$57,15,FALSE)</f>
        <v>#N/A</v>
      </c>
    </row>
    <row r="57" spans="1:65" ht="109.9" customHeight="1" thickBot="1">
      <c r="A57" s="454">
        <v>46</v>
      </c>
      <c r="B57" s="933" t="str">
        <f>IF(基本情報入力シート!B85="","",基本情報入力シート!B85)</f>
        <v/>
      </c>
      <c r="C57" s="934"/>
      <c r="D57" s="934"/>
      <c r="E57" s="934"/>
      <c r="F57" s="935"/>
      <c r="G57" s="455" t="str">
        <f>IF(基本情報入力シート!L85="", "", 基本情報入力シート!L85)</f>
        <v/>
      </c>
      <c r="H57" s="455" t="str">
        <f>IF(基本情報入力シート!Q85="", "", 基本情報入力シート!Q85)</f>
        <v/>
      </c>
      <c r="I57" s="455" t="str">
        <f>IF(基本情報入力シート!V85="", "", 基本情報入力シート!V85)</f>
        <v/>
      </c>
      <c r="J57" s="455" t="str">
        <f>IF(基本情報入力シート!W85="", "", 基本情報入力シート!W85)</f>
        <v/>
      </c>
      <c r="K57" s="455" t="str">
        <f>IF(基本情報入力シート!Z85="", "", 基本情報入力シート!Z85)</f>
        <v/>
      </c>
      <c r="L57" s="101" t="str">
        <f>IF(基本情報入力シート!AF85=0, "",基本情報入力シート!AF85)</f>
        <v/>
      </c>
      <c r="M57" s="142" t="str">
        <f>IF(AND(基本情報入力シート!AG85="",基本情報入力シート!AG85=""), "", 基本情報入力シート!AG85)</f>
        <v/>
      </c>
      <c r="N57" s="136"/>
      <c r="O57" s="155" t="str">
        <f>IFERROR(VLOOKUP(K57,【参考】数式用!$A$2:$M$57,MATCH(N57,【参考】数式用!$G$3:$M$3,0)+6,0),"")</f>
        <v/>
      </c>
      <c r="P57" s="456" t="s">
        <v>180</v>
      </c>
      <c r="Q57" s="141"/>
      <c r="R57" s="457" t="s">
        <v>271</v>
      </c>
      <c r="S57" s="141"/>
      <c r="T57" s="457" t="s">
        <v>272</v>
      </c>
      <c r="U57" s="141"/>
      <c r="V57" s="457" t="s">
        <v>271</v>
      </c>
      <c r="W57" s="141"/>
      <c r="X57" s="457" t="s">
        <v>182</v>
      </c>
      <c r="Y57" s="457" t="s">
        <v>274</v>
      </c>
      <c r="Z57" s="457" t="str">
        <f t="shared" si="0"/>
        <v/>
      </c>
      <c r="AA57" s="458" t="s">
        <v>275</v>
      </c>
      <c r="AB57" s="459" t="str">
        <f t="shared" si="1"/>
        <v/>
      </c>
      <c r="AC57" s="460" t="str">
        <f>IFERROR(ROUNDDOWN(ROUNDDOWN(ROUND(L57*VLOOKUP(K57,【参考】数式用!$A$2:$M$57,MATCH("処遇改善加算Ⅳ",【参考】数式用!$G$3:$M$3,0)+6,0),0)*M57,0)*Z57*0.5,0), "")</f>
        <v/>
      </c>
      <c r="AD57" s="156"/>
      <c r="AE57" s="157"/>
      <c r="AF57" s="157"/>
      <c r="AG57" s="158"/>
      <c r="AH57" s="159"/>
      <c r="AI57" s="160"/>
      <c r="AJ57" s="161"/>
      <c r="AK57" s="542" t="str">
        <f t="shared" si="17"/>
        <v/>
      </c>
      <c r="AL57" s="543" t="str">
        <f t="shared" si="2"/>
        <v/>
      </c>
      <c r="AM57" s="544"/>
      <c r="AN57" s="545" t="str">
        <f>IFERROR(VLOOKUP(K57,【参考】数式用!$A$2:$N$57,14,FALSE),"")</f>
        <v/>
      </c>
      <c r="AO57" s="545" t="str">
        <f t="shared" si="3"/>
        <v/>
      </c>
      <c r="AP57" s="546" t="str">
        <f t="shared" si="18"/>
        <v/>
      </c>
      <c r="AQ57" s="546" t="str">
        <f t="shared" si="19"/>
        <v>キャリアパス要件Ⅰ・Ⅱ_</v>
      </c>
      <c r="AR57" s="547" t="str">
        <f t="shared" si="20"/>
        <v>入力済</v>
      </c>
      <c r="AS57" s="545" t="str">
        <f t="shared" si="4"/>
        <v/>
      </c>
      <c r="AT57" s="547" t="str">
        <f t="shared" si="5"/>
        <v>入力済</v>
      </c>
      <c r="AU57" s="547" t="str">
        <f t="shared" si="6"/>
        <v/>
      </c>
      <c r="AV57" s="547" t="str">
        <f t="shared" si="7"/>
        <v/>
      </c>
      <c r="AW57" s="545" t="str">
        <f t="shared" si="8"/>
        <v/>
      </c>
      <c r="AX57" s="545" t="str">
        <f t="shared" si="9"/>
        <v>入力済</v>
      </c>
      <c r="AY57" s="547" t="str">
        <f>IFERROR(VLOOKUP(K57,【参考】数式用!$AR$3:$AS$49, 2, FALSE), "")</f>
        <v/>
      </c>
      <c r="AZ57" s="545" t="str">
        <f t="shared" si="10"/>
        <v/>
      </c>
      <c r="BA57" s="548" t="str">
        <f t="shared" si="21"/>
        <v>入力済</v>
      </c>
      <c r="BB57" s="547" t="str">
        <f>IFERROR(VLOOKUP(K57,【参考】数式用!$AX$3:$AY$56, 2, FALSE), "")</f>
        <v/>
      </c>
      <c r="BC57" s="545" t="str">
        <f t="shared" si="11"/>
        <v/>
      </c>
      <c r="BD57" s="548" t="str">
        <f t="shared" si="36"/>
        <v>入力済</v>
      </c>
      <c r="BE57" s="548" t="str">
        <f t="shared" si="12"/>
        <v/>
      </c>
      <c r="BF57" s="548" t="str">
        <f t="shared" si="13"/>
        <v/>
      </c>
      <c r="BG57" s="548" t="str">
        <f t="shared" si="14"/>
        <v/>
      </c>
      <c r="BH57" s="548" t="str">
        <f t="shared" si="15"/>
        <v/>
      </c>
      <c r="BI57" s="548" t="str">
        <f t="shared" si="16"/>
        <v/>
      </c>
      <c r="BM57" s="634" t="e">
        <f>VLOOKUP(K57,【参考】数式用!$A$2:$O$57,15,FALSE)</f>
        <v>#N/A</v>
      </c>
    </row>
    <row r="58" spans="1:65" ht="109.9" customHeight="1" thickBot="1">
      <c r="A58" s="454">
        <v>47</v>
      </c>
      <c r="B58" s="933" t="str">
        <f>IF(基本情報入力シート!B86="","",基本情報入力シート!B86)</f>
        <v/>
      </c>
      <c r="C58" s="934"/>
      <c r="D58" s="934"/>
      <c r="E58" s="934"/>
      <c r="F58" s="935"/>
      <c r="G58" s="455" t="str">
        <f>IF(基本情報入力シート!L86="", "", 基本情報入力シート!L86)</f>
        <v/>
      </c>
      <c r="H58" s="455" t="str">
        <f>IF(基本情報入力シート!Q86="", "", 基本情報入力シート!Q86)</f>
        <v/>
      </c>
      <c r="I58" s="455" t="str">
        <f>IF(基本情報入力シート!V86="", "", 基本情報入力シート!V86)</f>
        <v/>
      </c>
      <c r="J58" s="455" t="str">
        <f>IF(基本情報入力シート!W86="", "", 基本情報入力シート!W86)</f>
        <v/>
      </c>
      <c r="K58" s="455" t="str">
        <f>IF(基本情報入力シート!Z86="", "", 基本情報入力シート!Z86)</f>
        <v/>
      </c>
      <c r="L58" s="101" t="str">
        <f>IF(基本情報入力シート!AF86=0, "",基本情報入力シート!AF86)</f>
        <v/>
      </c>
      <c r="M58" s="142" t="str">
        <f>IF(AND(基本情報入力シート!AG86="",基本情報入力シート!AG86=""), "", 基本情報入力シート!AG86)</f>
        <v/>
      </c>
      <c r="N58" s="136"/>
      <c r="O58" s="155" t="str">
        <f>IFERROR(VLOOKUP(K58,【参考】数式用!$A$2:$M$57,MATCH(N58,【参考】数式用!$G$3:$M$3,0)+6,0),"")</f>
        <v/>
      </c>
      <c r="P58" s="456" t="s">
        <v>180</v>
      </c>
      <c r="Q58" s="141"/>
      <c r="R58" s="457" t="s">
        <v>271</v>
      </c>
      <c r="S58" s="141"/>
      <c r="T58" s="457" t="s">
        <v>272</v>
      </c>
      <c r="U58" s="141"/>
      <c r="V58" s="457" t="s">
        <v>271</v>
      </c>
      <c r="W58" s="141"/>
      <c r="X58" s="457" t="s">
        <v>273</v>
      </c>
      <c r="Y58" s="457" t="s">
        <v>274</v>
      </c>
      <c r="Z58" s="457" t="str">
        <f t="shared" si="0"/>
        <v/>
      </c>
      <c r="AA58" s="458" t="s">
        <v>275</v>
      </c>
      <c r="AB58" s="459" t="str">
        <f t="shared" si="1"/>
        <v/>
      </c>
      <c r="AC58" s="460" t="str">
        <f>IFERROR(ROUNDDOWN(ROUNDDOWN(ROUND(L58*VLOOKUP(K58,【参考】数式用!$A$2:$M$57,MATCH("処遇改善加算Ⅳ",【参考】数式用!$G$3:$M$3,0)+6,0),0)*M58,0)*Z58*0.5,0), "")</f>
        <v/>
      </c>
      <c r="AD58" s="156"/>
      <c r="AE58" s="157"/>
      <c r="AF58" s="157"/>
      <c r="AG58" s="158"/>
      <c r="AH58" s="159"/>
      <c r="AI58" s="160"/>
      <c r="AJ58" s="161"/>
      <c r="AK58" s="542" t="str">
        <f t="shared" si="17"/>
        <v/>
      </c>
      <c r="AL58" s="543" t="str">
        <f t="shared" si="2"/>
        <v/>
      </c>
      <c r="AM58" s="544"/>
      <c r="AN58" s="545" t="str">
        <f>IFERROR(VLOOKUP(K58,【参考】数式用!$A$2:$N$57,14,FALSE),"")</f>
        <v/>
      </c>
      <c r="AO58" s="545" t="str">
        <f t="shared" si="3"/>
        <v/>
      </c>
      <c r="AP58" s="546" t="str">
        <f t="shared" si="18"/>
        <v/>
      </c>
      <c r="AQ58" s="546" t="str">
        <f t="shared" si="19"/>
        <v>キャリアパス要件Ⅰ・Ⅱ_</v>
      </c>
      <c r="AR58" s="547" t="str">
        <f t="shared" si="20"/>
        <v>入力済</v>
      </c>
      <c r="AS58" s="545" t="str">
        <f t="shared" si="4"/>
        <v/>
      </c>
      <c r="AT58" s="547" t="str">
        <f t="shared" si="5"/>
        <v>入力済</v>
      </c>
      <c r="AU58" s="547" t="str">
        <f t="shared" si="6"/>
        <v/>
      </c>
      <c r="AV58" s="547" t="str">
        <f t="shared" si="7"/>
        <v/>
      </c>
      <c r="AW58" s="545" t="str">
        <f t="shared" si="8"/>
        <v/>
      </c>
      <c r="AX58" s="545" t="str">
        <f t="shared" si="9"/>
        <v>入力済</v>
      </c>
      <c r="AY58" s="547" t="str">
        <f>IFERROR(VLOOKUP(K58,【参考】数式用!$AR$3:$AS$49, 2, FALSE), "")</f>
        <v/>
      </c>
      <c r="AZ58" s="545" t="str">
        <f t="shared" si="10"/>
        <v/>
      </c>
      <c r="BA58" s="548" t="str">
        <f t="shared" si="21"/>
        <v>入力済</v>
      </c>
      <c r="BB58" s="547" t="str">
        <f>IFERROR(VLOOKUP(K58,【参考】数式用!$AX$3:$AY$56, 2, FALSE), "")</f>
        <v/>
      </c>
      <c r="BC58" s="545" t="str">
        <f t="shared" si="11"/>
        <v/>
      </c>
      <c r="BD58" s="548" t="str">
        <f t="shared" si="36"/>
        <v>入力済</v>
      </c>
      <c r="BE58" s="548" t="str">
        <f t="shared" si="12"/>
        <v/>
      </c>
      <c r="BF58" s="548" t="str">
        <f t="shared" si="13"/>
        <v/>
      </c>
      <c r="BG58" s="548" t="str">
        <f t="shared" si="14"/>
        <v/>
      </c>
      <c r="BH58" s="548" t="str">
        <f t="shared" si="15"/>
        <v/>
      </c>
      <c r="BI58" s="548" t="str">
        <f t="shared" si="16"/>
        <v/>
      </c>
      <c r="BM58" s="634" t="e">
        <f>VLOOKUP(K58,【参考】数式用!$A$2:$O$57,15,FALSE)</f>
        <v>#N/A</v>
      </c>
    </row>
    <row r="59" spans="1:65" ht="109.9" customHeight="1" thickBot="1">
      <c r="A59" s="454">
        <v>48</v>
      </c>
      <c r="B59" s="933" t="str">
        <f>IF(基本情報入力シート!B87="","",基本情報入力シート!B87)</f>
        <v/>
      </c>
      <c r="C59" s="934"/>
      <c r="D59" s="934"/>
      <c r="E59" s="934"/>
      <c r="F59" s="935"/>
      <c r="G59" s="455" t="str">
        <f>IF(基本情報入力シート!L87="", "", 基本情報入力シート!L87)</f>
        <v/>
      </c>
      <c r="H59" s="455" t="str">
        <f>IF(基本情報入力シート!Q87="", "", 基本情報入力シート!Q87)</f>
        <v/>
      </c>
      <c r="I59" s="455" t="str">
        <f>IF(基本情報入力シート!V87="", "", 基本情報入力シート!V87)</f>
        <v/>
      </c>
      <c r="J59" s="455" t="str">
        <f>IF(基本情報入力シート!W87="", "", 基本情報入力シート!W87)</f>
        <v/>
      </c>
      <c r="K59" s="455" t="str">
        <f>IF(基本情報入力シート!Z87="", "", 基本情報入力シート!Z87)</f>
        <v/>
      </c>
      <c r="L59" s="101" t="str">
        <f>IF(基本情報入力シート!AF87=0, "",基本情報入力シート!AF87)</f>
        <v/>
      </c>
      <c r="M59" s="142" t="str">
        <f>IF(AND(基本情報入力シート!AG87="",基本情報入力シート!AG87=""), "", 基本情報入力シート!AG87)</f>
        <v/>
      </c>
      <c r="N59" s="136"/>
      <c r="O59" s="155" t="str">
        <f>IFERROR(VLOOKUP(K59,【参考】数式用!$A$2:$M$57,MATCH(N59,【参考】数式用!$G$3:$M$3,0)+6,0),"")</f>
        <v/>
      </c>
      <c r="P59" s="456" t="s">
        <v>180</v>
      </c>
      <c r="Q59" s="141"/>
      <c r="R59" s="457" t="s">
        <v>271</v>
      </c>
      <c r="S59" s="141"/>
      <c r="T59" s="457" t="s">
        <v>272</v>
      </c>
      <c r="U59" s="141"/>
      <c r="V59" s="457" t="s">
        <v>271</v>
      </c>
      <c r="W59" s="141"/>
      <c r="X59" s="457" t="s">
        <v>273</v>
      </c>
      <c r="Y59" s="457" t="s">
        <v>274</v>
      </c>
      <c r="Z59" s="457" t="str">
        <f t="shared" si="0"/>
        <v/>
      </c>
      <c r="AA59" s="458" t="s">
        <v>275</v>
      </c>
      <c r="AB59" s="459" t="str">
        <f t="shared" si="1"/>
        <v/>
      </c>
      <c r="AC59" s="460" t="str">
        <f>IFERROR(ROUNDDOWN(ROUNDDOWN(ROUND(L59*VLOOKUP(K59,【参考】数式用!$A$2:$M$57,MATCH("処遇改善加算Ⅳ",【参考】数式用!$G$3:$M$3,0)+6,0),0)*M59,0)*Z59*0.5,0), "")</f>
        <v/>
      </c>
      <c r="AD59" s="156"/>
      <c r="AE59" s="157"/>
      <c r="AF59" s="157"/>
      <c r="AG59" s="158"/>
      <c r="AH59" s="159"/>
      <c r="AI59" s="160"/>
      <c r="AJ59" s="161"/>
      <c r="AK59" s="542" t="str">
        <f t="shared" si="17"/>
        <v/>
      </c>
      <c r="AL59" s="543" t="str">
        <f t="shared" si="2"/>
        <v/>
      </c>
      <c r="AM59" s="544"/>
      <c r="AN59" s="545" t="str">
        <f>IFERROR(VLOOKUP(K59,【参考】数式用!$A$2:$N$57,14,FALSE),"")</f>
        <v/>
      </c>
      <c r="AO59" s="545" t="str">
        <f t="shared" si="3"/>
        <v/>
      </c>
      <c r="AP59" s="546" t="str">
        <f t="shared" si="18"/>
        <v/>
      </c>
      <c r="AQ59" s="546" t="str">
        <f t="shared" si="19"/>
        <v>キャリアパス要件Ⅰ・Ⅱ_</v>
      </c>
      <c r="AR59" s="547" t="str">
        <f t="shared" si="20"/>
        <v>入力済</v>
      </c>
      <c r="AS59" s="545" t="str">
        <f t="shared" si="4"/>
        <v/>
      </c>
      <c r="AT59" s="547" t="str">
        <f t="shared" si="5"/>
        <v>入力済</v>
      </c>
      <c r="AU59" s="547" t="str">
        <f t="shared" si="6"/>
        <v/>
      </c>
      <c r="AV59" s="547" t="str">
        <f t="shared" si="7"/>
        <v/>
      </c>
      <c r="AW59" s="545" t="str">
        <f t="shared" si="8"/>
        <v/>
      </c>
      <c r="AX59" s="545" t="str">
        <f t="shared" si="9"/>
        <v>入力済</v>
      </c>
      <c r="AY59" s="547" t="str">
        <f>IFERROR(VLOOKUP(K59,【参考】数式用!$AR$3:$AS$49, 2, FALSE), "")</f>
        <v/>
      </c>
      <c r="AZ59" s="545" t="str">
        <f t="shared" si="10"/>
        <v/>
      </c>
      <c r="BA59" s="548" t="str">
        <f t="shared" si="21"/>
        <v>入力済</v>
      </c>
      <c r="BB59" s="547" t="str">
        <f>IFERROR(VLOOKUP(K59,【参考】数式用!$AX$3:$AY$56, 2, FALSE), "")</f>
        <v/>
      </c>
      <c r="BC59" s="545" t="str">
        <f t="shared" si="11"/>
        <v/>
      </c>
      <c r="BD59" s="548" t="str">
        <f t="shared" si="36"/>
        <v>入力済</v>
      </c>
      <c r="BE59" s="548" t="str">
        <f t="shared" si="12"/>
        <v/>
      </c>
      <c r="BF59" s="548" t="str">
        <f t="shared" si="13"/>
        <v/>
      </c>
      <c r="BG59" s="548" t="str">
        <f t="shared" si="14"/>
        <v/>
      </c>
      <c r="BH59" s="548" t="str">
        <f t="shared" si="15"/>
        <v/>
      </c>
      <c r="BI59" s="548" t="str">
        <f t="shared" si="16"/>
        <v/>
      </c>
      <c r="BM59" s="634" t="e">
        <f>VLOOKUP(K59,【参考】数式用!$A$2:$O$57,15,FALSE)</f>
        <v>#N/A</v>
      </c>
    </row>
    <row r="60" spans="1:65" ht="109.9" customHeight="1" thickBot="1">
      <c r="A60" s="454">
        <v>49</v>
      </c>
      <c r="B60" s="933" t="str">
        <f>IF(基本情報入力シート!B88="","",基本情報入力シート!B88)</f>
        <v/>
      </c>
      <c r="C60" s="934"/>
      <c r="D60" s="934"/>
      <c r="E60" s="934"/>
      <c r="F60" s="935"/>
      <c r="G60" s="455" t="str">
        <f>IF(基本情報入力シート!L88="", "", 基本情報入力シート!L88)</f>
        <v/>
      </c>
      <c r="H60" s="455" t="str">
        <f>IF(基本情報入力シート!Q88="", "", 基本情報入力シート!Q88)</f>
        <v/>
      </c>
      <c r="I60" s="455" t="str">
        <f>IF(基本情報入力シート!V88="", "", 基本情報入力シート!V88)</f>
        <v/>
      </c>
      <c r="J60" s="455" t="str">
        <f>IF(基本情報入力シート!W88="", "", 基本情報入力シート!W88)</f>
        <v/>
      </c>
      <c r="K60" s="455" t="str">
        <f>IF(基本情報入力シート!Z88="", "", 基本情報入力シート!Z88)</f>
        <v/>
      </c>
      <c r="L60" s="101" t="str">
        <f>IF(基本情報入力シート!AF88=0, "",基本情報入力シート!AF88)</f>
        <v/>
      </c>
      <c r="M60" s="142" t="str">
        <f>IF(AND(基本情報入力シート!AG88="",基本情報入力シート!AG88=""), "", 基本情報入力シート!AG88)</f>
        <v/>
      </c>
      <c r="N60" s="136"/>
      <c r="O60" s="155" t="str">
        <f>IFERROR(VLOOKUP(K60,【参考】数式用!$A$2:$M$57,MATCH(N60,【参考】数式用!$G$3:$M$3,0)+6,0),"")</f>
        <v/>
      </c>
      <c r="P60" s="456" t="s">
        <v>180</v>
      </c>
      <c r="Q60" s="141"/>
      <c r="R60" s="457" t="s">
        <v>271</v>
      </c>
      <c r="S60" s="141"/>
      <c r="T60" s="457" t="s">
        <v>272</v>
      </c>
      <c r="U60" s="141"/>
      <c r="V60" s="457" t="s">
        <v>271</v>
      </c>
      <c r="W60" s="141"/>
      <c r="X60" s="457" t="s">
        <v>273</v>
      </c>
      <c r="Y60" s="457" t="s">
        <v>274</v>
      </c>
      <c r="Z60" s="457" t="str">
        <f t="shared" si="0"/>
        <v/>
      </c>
      <c r="AA60" s="458" t="s">
        <v>275</v>
      </c>
      <c r="AB60" s="459" t="str">
        <f t="shared" si="1"/>
        <v/>
      </c>
      <c r="AC60" s="460" t="str">
        <f>IFERROR(ROUNDDOWN(ROUNDDOWN(ROUND(L60*VLOOKUP(K60,【参考】数式用!$A$2:$M$57,MATCH("処遇改善加算Ⅳ",【参考】数式用!$G$3:$M$3,0)+6,0),0)*M60,0)*Z60*0.5,0), "")</f>
        <v/>
      </c>
      <c r="AD60" s="156"/>
      <c r="AE60" s="157"/>
      <c r="AF60" s="157"/>
      <c r="AG60" s="158"/>
      <c r="AH60" s="159"/>
      <c r="AI60" s="160"/>
      <c r="AJ60" s="161"/>
      <c r="AK60" s="542" t="str">
        <f t="shared" si="17"/>
        <v/>
      </c>
      <c r="AL60" s="543" t="str">
        <f t="shared" si="2"/>
        <v/>
      </c>
      <c r="AM60" s="544"/>
      <c r="AN60" s="545" t="str">
        <f>IFERROR(VLOOKUP(K60,【参考】数式用!$A$2:$N$57,14,FALSE),"")</f>
        <v/>
      </c>
      <c r="AO60" s="545" t="str">
        <f t="shared" si="3"/>
        <v/>
      </c>
      <c r="AP60" s="546" t="str">
        <f t="shared" si="18"/>
        <v/>
      </c>
      <c r="AQ60" s="546" t="str">
        <f t="shared" si="19"/>
        <v>キャリアパス要件Ⅰ・Ⅱ_</v>
      </c>
      <c r="AR60" s="547" t="str">
        <f t="shared" si="20"/>
        <v>入力済</v>
      </c>
      <c r="AS60" s="545" t="str">
        <f t="shared" si="4"/>
        <v/>
      </c>
      <c r="AT60" s="547" t="str">
        <f t="shared" si="5"/>
        <v>入力済</v>
      </c>
      <c r="AU60" s="547" t="str">
        <f t="shared" si="6"/>
        <v/>
      </c>
      <c r="AV60" s="547" t="str">
        <f t="shared" si="7"/>
        <v/>
      </c>
      <c r="AW60" s="545" t="str">
        <f t="shared" si="8"/>
        <v/>
      </c>
      <c r="AX60" s="545" t="str">
        <f t="shared" si="9"/>
        <v>入力済</v>
      </c>
      <c r="AY60" s="547" t="str">
        <f>IFERROR(VLOOKUP(K60,【参考】数式用!$AR$3:$AS$49, 2, FALSE), "")</f>
        <v/>
      </c>
      <c r="AZ60" s="545" t="str">
        <f t="shared" si="10"/>
        <v/>
      </c>
      <c r="BA60" s="548" t="str">
        <f t="shared" si="21"/>
        <v>入力済</v>
      </c>
      <c r="BB60" s="547" t="str">
        <f>IFERROR(VLOOKUP(K60,【参考】数式用!$AX$3:$AY$56, 2, FALSE), "")</f>
        <v/>
      </c>
      <c r="BC60" s="545" t="str">
        <f t="shared" si="11"/>
        <v/>
      </c>
      <c r="BD60" s="548" t="str">
        <f t="shared" si="36"/>
        <v>入力済</v>
      </c>
      <c r="BE60" s="548" t="str">
        <f t="shared" si="12"/>
        <v/>
      </c>
      <c r="BF60" s="548" t="str">
        <f t="shared" si="13"/>
        <v/>
      </c>
      <c r="BG60" s="548" t="str">
        <f t="shared" si="14"/>
        <v/>
      </c>
      <c r="BH60" s="548" t="str">
        <f t="shared" si="15"/>
        <v/>
      </c>
      <c r="BI60" s="548" t="str">
        <f t="shared" si="16"/>
        <v/>
      </c>
      <c r="BM60" s="634" t="e">
        <f>VLOOKUP(K60,【参考】数式用!$A$2:$O$57,15,FALSE)</f>
        <v>#N/A</v>
      </c>
    </row>
    <row r="61" spans="1:65" ht="109.9" customHeight="1" thickBot="1">
      <c r="A61" s="454">
        <v>50</v>
      </c>
      <c r="B61" s="933" t="str">
        <f>IF(基本情報入力シート!B89="","",基本情報入力シート!B89)</f>
        <v/>
      </c>
      <c r="C61" s="934"/>
      <c r="D61" s="934"/>
      <c r="E61" s="934"/>
      <c r="F61" s="935"/>
      <c r="G61" s="455" t="str">
        <f>IF(基本情報入力シート!L89="", "", 基本情報入力シート!L89)</f>
        <v/>
      </c>
      <c r="H61" s="455" t="str">
        <f>IF(基本情報入力シート!Q89="", "", 基本情報入力シート!Q89)</f>
        <v/>
      </c>
      <c r="I61" s="455" t="str">
        <f>IF(基本情報入力シート!V89="", "", 基本情報入力シート!V89)</f>
        <v/>
      </c>
      <c r="J61" s="455" t="str">
        <f>IF(基本情報入力シート!W89="", "", 基本情報入力シート!W89)</f>
        <v/>
      </c>
      <c r="K61" s="455" t="str">
        <f>IF(基本情報入力シート!Z89="", "", 基本情報入力シート!Z89)</f>
        <v/>
      </c>
      <c r="L61" s="101" t="str">
        <f>IF(基本情報入力シート!AF89=0, "",基本情報入力シート!AF89)</f>
        <v/>
      </c>
      <c r="M61" s="142" t="str">
        <f>IF(AND(基本情報入力シート!AG89="",基本情報入力シート!AG89=""), "", 基本情報入力シート!AG89)</f>
        <v/>
      </c>
      <c r="N61" s="136"/>
      <c r="O61" s="155" t="str">
        <f>IFERROR(VLOOKUP(K61,【参考】数式用!$A$2:$M$57,MATCH(N61,【参考】数式用!$G$3:$M$3,0)+6,0),"")</f>
        <v/>
      </c>
      <c r="P61" s="456" t="s">
        <v>180</v>
      </c>
      <c r="Q61" s="141"/>
      <c r="R61" s="457" t="s">
        <v>271</v>
      </c>
      <c r="S61" s="141"/>
      <c r="T61" s="457" t="s">
        <v>272</v>
      </c>
      <c r="U61" s="141"/>
      <c r="V61" s="457" t="s">
        <v>271</v>
      </c>
      <c r="W61" s="141"/>
      <c r="X61" s="457" t="s">
        <v>182</v>
      </c>
      <c r="Y61" s="457" t="s">
        <v>274</v>
      </c>
      <c r="Z61" s="457" t="str">
        <f t="shared" si="0"/>
        <v/>
      </c>
      <c r="AA61" s="458" t="s">
        <v>275</v>
      </c>
      <c r="AB61" s="459" t="str">
        <f t="shared" si="1"/>
        <v/>
      </c>
      <c r="AC61" s="460" t="str">
        <f>IFERROR(ROUNDDOWN(ROUNDDOWN(ROUND(L61*VLOOKUP(K61,【参考】数式用!$A$2:$M$57,MATCH("処遇改善加算Ⅳ",【参考】数式用!$G$3:$M$3,0)+6,0),0)*M61,0)*Z61*0.5,0), "")</f>
        <v/>
      </c>
      <c r="AD61" s="156"/>
      <c r="AE61" s="157"/>
      <c r="AF61" s="157"/>
      <c r="AG61" s="158"/>
      <c r="AH61" s="159"/>
      <c r="AI61" s="160"/>
      <c r="AJ61" s="161"/>
      <c r="AK61" s="542" t="str">
        <f t="shared" si="17"/>
        <v/>
      </c>
      <c r="AL61" s="543" t="str">
        <f t="shared" si="2"/>
        <v/>
      </c>
      <c r="AM61" s="544"/>
      <c r="AN61" s="545" t="str">
        <f>IFERROR(VLOOKUP(K61,【参考】数式用!$A$2:$N$57,14,FALSE),"")</f>
        <v/>
      </c>
      <c r="AO61" s="545" t="str">
        <f t="shared" si="3"/>
        <v/>
      </c>
      <c r="AP61" s="546" t="str">
        <f t="shared" si="18"/>
        <v/>
      </c>
      <c r="AQ61" s="546" t="str">
        <f t="shared" si="19"/>
        <v>キャリアパス要件Ⅰ・Ⅱ_</v>
      </c>
      <c r="AR61" s="547" t="str">
        <f t="shared" si="20"/>
        <v>入力済</v>
      </c>
      <c r="AS61" s="545" t="str">
        <f t="shared" si="4"/>
        <v/>
      </c>
      <c r="AT61" s="547" t="str">
        <f t="shared" si="5"/>
        <v>入力済</v>
      </c>
      <c r="AU61" s="547" t="str">
        <f t="shared" si="6"/>
        <v/>
      </c>
      <c r="AV61" s="547" t="str">
        <f t="shared" si="7"/>
        <v/>
      </c>
      <c r="AW61" s="545" t="str">
        <f t="shared" si="8"/>
        <v/>
      </c>
      <c r="AX61" s="545" t="str">
        <f t="shared" si="9"/>
        <v>入力済</v>
      </c>
      <c r="AY61" s="547" t="str">
        <f>IFERROR(VLOOKUP(K61,【参考】数式用!$AR$3:$AS$49, 2, FALSE), "")</f>
        <v/>
      </c>
      <c r="AZ61" s="545" t="str">
        <f t="shared" si="10"/>
        <v/>
      </c>
      <c r="BA61" s="548" t="str">
        <f t="shared" si="21"/>
        <v>入力済</v>
      </c>
      <c r="BB61" s="547" t="str">
        <f>IFERROR(VLOOKUP(K61,【参考】数式用!$AX$3:$AY$56, 2, FALSE), "")</f>
        <v/>
      </c>
      <c r="BC61" s="545" t="str">
        <f t="shared" si="11"/>
        <v/>
      </c>
      <c r="BD61" s="548" t="str">
        <f t="shared" si="36"/>
        <v>入力済</v>
      </c>
      <c r="BE61" s="548" t="str">
        <f t="shared" si="12"/>
        <v/>
      </c>
      <c r="BF61" s="548" t="str">
        <f t="shared" si="13"/>
        <v/>
      </c>
      <c r="BG61" s="548" t="str">
        <f t="shared" si="14"/>
        <v/>
      </c>
      <c r="BH61" s="548" t="str">
        <f t="shared" si="15"/>
        <v/>
      </c>
      <c r="BI61" s="548" t="str">
        <f t="shared" si="16"/>
        <v/>
      </c>
      <c r="BM61" s="634" t="e">
        <f>VLOOKUP(K61,【参考】数式用!$A$2:$O$57,15,FALSE)</f>
        <v>#N/A</v>
      </c>
    </row>
    <row r="62" spans="1:65" ht="109.9" customHeight="1" thickBot="1">
      <c r="A62" s="454">
        <v>51</v>
      </c>
      <c r="B62" s="933" t="str">
        <f>IF(基本情報入力シート!B90="","",基本情報入力シート!B90)</f>
        <v/>
      </c>
      <c r="C62" s="934"/>
      <c r="D62" s="934"/>
      <c r="E62" s="934"/>
      <c r="F62" s="935"/>
      <c r="G62" s="455" t="str">
        <f>IF(基本情報入力シート!L90="", "", 基本情報入力シート!L90)</f>
        <v/>
      </c>
      <c r="H62" s="455" t="str">
        <f>IF(基本情報入力シート!Q90="", "", 基本情報入力シート!Q90)</f>
        <v/>
      </c>
      <c r="I62" s="455" t="str">
        <f>IF(基本情報入力シート!V90="", "", 基本情報入力シート!V90)</f>
        <v/>
      </c>
      <c r="J62" s="455" t="str">
        <f>IF(基本情報入力シート!W90="", "", 基本情報入力シート!W90)</f>
        <v/>
      </c>
      <c r="K62" s="455" t="str">
        <f>IF(基本情報入力シート!Z90="", "", 基本情報入力シート!Z90)</f>
        <v/>
      </c>
      <c r="L62" s="101" t="str">
        <f>IF(基本情報入力シート!AF90=0, "",基本情報入力シート!AF90)</f>
        <v/>
      </c>
      <c r="M62" s="142" t="str">
        <f>IF(AND(基本情報入力シート!AG90="",基本情報入力シート!AG90=""), "", 基本情報入力シート!AG90)</f>
        <v/>
      </c>
      <c r="N62" s="136"/>
      <c r="O62" s="155" t="str">
        <f>IFERROR(VLOOKUP(K62,【参考】数式用!$A$2:$M$57,MATCH(N62,【参考】数式用!$G$3:$M$3,0)+6,0),"")</f>
        <v/>
      </c>
      <c r="P62" s="456" t="s">
        <v>180</v>
      </c>
      <c r="Q62" s="141"/>
      <c r="R62" s="457" t="s">
        <v>271</v>
      </c>
      <c r="S62" s="141"/>
      <c r="T62" s="457" t="s">
        <v>272</v>
      </c>
      <c r="U62" s="141"/>
      <c r="V62" s="457" t="s">
        <v>271</v>
      </c>
      <c r="W62" s="141"/>
      <c r="X62" s="457" t="s">
        <v>182</v>
      </c>
      <c r="Y62" s="457" t="s">
        <v>274</v>
      </c>
      <c r="Z62" s="457" t="str">
        <f t="shared" si="0"/>
        <v/>
      </c>
      <c r="AA62" s="458" t="s">
        <v>275</v>
      </c>
      <c r="AB62" s="459" t="str">
        <f t="shared" si="1"/>
        <v/>
      </c>
      <c r="AC62" s="460" t="str">
        <f>IFERROR(ROUNDDOWN(ROUNDDOWN(ROUND(L62*VLOOKUP(K62,【参考】数式用!$A$2:$M$57,MATCH("処遇改善加算Ⅳ",【参考】数式用!$G$3:$M$3,0)+6,0),0)*M62,0)*Z62*0.5,0), "")</f>
        <v/>
      </c>
      <c r="AD62" s="156"/>
      <c r="AE62" s="157"/>
      <c r="AF62" s="157"/>
      <c r="AG62" s="158"/>
      <c r="AH62" s="159"/>
      <c r="AI62" s="160"/>
      <c r="AJ62" s="161"/>
      <c r="AK62" s="542" t="str">
        <f t="shared" si="17"/>
        <v/>
      </c>
      <c r="AL62" s="543" t="str">
        <f t="shared" si="2"/>
        <v/>
      </c>
      <c r="AM62" s="544"/>
      <c r="AN62" s="545" t="str">
        <f>IFERROR(VLOOKUP(K62,【参考】数式用!$A$2:$N$57,14,FALSE),"")</f>
        <v/>
      </c>
      <c r="AO62" s="545" t="str">
        <f t="shared" si="3"/>
        <v/>
      </c>
      <c r="AP62" s="546" t="str">
        <f t="shared" si="18"/>
        <v/>
      </c>
      <c r="AQ62" s="546" t="str">
        <f t="shared" si="19"/>
        <v>キャリアパス要件Ⅰ・Ⅱ_</v>
      </c>
      <c r="AR62" s="547" t="str">
        <f t="shared" si="20"/>
        <v>入力済</v>
      </c>
      <c r="AS62" s="545" t="str">
        <f t="shared" si="4"/>
        <v/>
      </c>
      <c r="AT62" s="547" t="str">
        <f t="shared" si="5"/>
        <v>入力済</v>
      </c>
      <c r="AU62" s="547" t="str">
        <f t="shared" si="6"/>
        <v/>
      </c>
      <c r="AV62" s="547" t="str">
        <f t="shared" si="7"/>
        <v/>
      </c>
      <c r="AW62" s="545" t="str">
        <f t="shared" si="8"/>
        <v/>
      </c>
      <c r="AX62" s="545" t="str">
        <f t="shared" si="9"/>
        <v>入力済</v>
      </c>
      <c r="AY62" s="547" t="str">
        <f>IFERROR(VLOOKUP(K62,【参考】数式用!$AR$3:$AS$49, 2, FALSE), "")</f>
        <v/>
      </c>
      <c r="AZ62" s="545" t="str">
        <f t="shared" si="10"/>
        <v/>
      </c>
      <c r="BA62" s="548" t="str">
        <f t="shared" si="21"/>
        <v>入力済</v>
      </c>
      <c r="BB62" s="547" t="str">
        <f>IFERROR(VLOOKUP(K62,【参考】数式用!$AX$3:$AY$56, 2, FALSE), "")</f>
        <v/>
      </c>
      <c r="BC62" s="545" t="str">
        <f t="shared" si="11"/>
        <v/>
      </c>
      <c r="BD62" s="548" t="str">
        <f t="shared" si="36"/>
        <v>入力済</v>
      </c>
      <c r="BE62" s="548" t="str">
        <f t="shared" si="12"/>
        <v/>
      </c>
      <c r="BF62" s="548" t="str">
        <f t="shared" si="13"/>
        <v/>
      </c>
      <c r="BG62" s="548" t="str">
        <f t="shared" si="14"/>
        <v/>
      </c>
      <c r="BH62" s="548" t="str">
        <f t="shared" si="15"/>
        <v/>
      </c>
      <c r="BI62" s="548" t="str">
        <f t="shared" si="16"/>
        <v/>
      </c>
      <c r="BM62" s="634" t="e">
        <f>VLOOKUP(K62,【参考】数式用!$A$2:$O$57,15,FALSE)</f>
        <v>#N/A</v>
      </c>
    </row>
    <row r="63" spans="1:65" ht="109.9" customHeight="1" thickBot="1">
      <c r="A63" s="454">
        <v>52</v>
      </c>
      <c r="B63" s="933" t="str">
        <f>IF(基本情報入力シート!B91="","",基本情報入力シート!B91)</f>
        <v/>
      </c>
      <c r="C63" s="934"/>
      <c r="D63" s="934"/>
      <c r="E63" s="934"/>
      <c r="F63" s="935"/>
      <c r="G63" s="455" t="str">
        <f>IF(基本情報入力シート!L91="", "", 基本情報入力シート!L91)</f>
        <v/>
      </c>
      <c r="H63" s="455" t="str">
        <f>IF(基本情報入力シート!Q91="", "", 基本情報入力シート!Q91)</f>
        <v/>
      </c>
      <c r="I63" s="455" t="str">
        <f>IF(基本情報入力シート!V91="", "", 基本情報入力シート!V91)</f>
        <v/>
      </c>
      <c r="J63" s="455" t="str">
        <f>IF(基本情報入力シート!W91="", "", 基本情報入力シート!W91)</f>
        <v/>
      </c>
      <c r="K63" s="455" t="str">
        <f>IF(基本情報入力シート!Z91="", "", 基本情報入力シート!Z91)</f>
        <v/>
      </c>
      <c r="L63" s="101" t="str">
        <f>IF(基本情報入力シート!AF91=0, "",基本情報入力シート!AF91)</f>
        <v/>
      </c>
      <c r="M63" s="142" t="str">
        <f>IF(AND(基本情報入力シート!AG91="",基本情報入力シート!AG91=""), "", 基本情報入力シート!AG91)</f>
        <v/>
      </c>
      <c r="N63" s="136"/>
      <c r="O63" s="155" t="str">
        <f>IFERROR(VLOOKUP(K63,【参考】数式用!$A$2:$M$57,MATCH(N63,【参考】数式用!$G$3:$M$3,0)+6,0),"")</f>
        <v/>
      </c>
      <c r="P63" s="456" t="s">
        <v>180</v>
      </c>
      <c r="Q63" s="141"/>
      <c r="R63" s="457" t="s">
        <v>271</v>
      </c>
      <c r="S63" s="141"/>
      <c r="T63" s="457" t="s">
        <v>272</v>
      </c>
      <c r="U63" s="141"/>
      <c r="V63" s="457" t="s">
        <v>271</v>
      </c>
      <c r="W63" s="141"/>
      <c r="X63" s="457" t="s">
        <v>273</v>
      </c>
      <c r="Y63" s="457" t="s">
        <v>274</v>
      </c>
      <c r="Z63" s="457" t="str">
        <f t="shared" si="0"/>
        <v/>
      </c>
      <c r="AA63" s="458" t="s">
        <v>275</v>
      </c>
      <c r="AB63" s="459" t="str">
        <f t="shared" si="1"/>
        <v/>
      </c>
      <c r="AC63" s="460" t="str">
        <f>IFERROR(ROUNDDOWN(ROUNDDOWN(ROUND(L63*VLOOKUP(K63,【参考】数式用!$A$2:$M$57,MATCH("処遇改善加算Ⅳ",【参考】数式用!$G$3:$M$3,0)+6,0),0)*M63,0)*Z63*0.5,0), "")</f>
        <v/>
      </c>
      <c r="AD63" s="156"/>
      <c r="AE63" s="157"/>
      <c r="AF63" s="157"/>
      <c r="AG63" s="158"/>
      <c r="AH63" s="159"/>
      <c r="AI63" s="160"/>
      <c r="AJ63" s="161"/>
      <c r="AK63" s="542" t="str">
        <f t="shared" si="17"/>
        <v/>
      </c>
      <c r="AL63" s="543" t="str">
        <f t="shared" si="2"/>
        <v/>
      </c>
      <c r="AM63" s="544"/>
      <c r="AN63" s="545" t="str">
        <f>IFERROR(VLOOKUP(K63,【参考】数式用!$A$2:$N$57,14,FALSE),"")</f>
        <v/>
      </c>
      <c r="AO63" s="545" t="str">
        <f t="shared" si="3"/>
        <v/>
      </c>
      <c r="AP63" s="546" t="str">
        <f t="shared" si="18"/>
        <v/>
      </c>
      <c r="AQ63" s="546" t="str">
        <f t="shared" si="19"/>
        <v>キャリアパス要件Ⅰ・Ⅱ_</v>
      </c>
      <c r="AR63" s="547" t="str">
        <f t="shared" si="20"/>
        <v>入力済</v>
      </c>
      <c r="AS63" s="545" t="str">
        <f t="shared" si="4"/>
        <v/>
      </c>
      <c r="AT63" s="547" t="str">
        <f t="shared" si="5"/>
        <v>入力済</v>
      </c>
      <c r="AU63" s="547" t="str">
        <f t="shared" si="6"/>
        <v/>
      </c>
      <c r="AV63" s="547" t="str">
        <f t="shared" si="7"/>
        <v/>
      </c>
      <c r="AW63" s="545" t="str">
        <f t="shared" si="8"/>
        <v/>
      </c>
      <c r="AX63" s="545" t="str">
        <f t="shared" si="9"/>
        <v>入力済</v>
      </c>
      <c r="AY63" s="547" t="str">
        <f>IFERROR(VLOOKUP(K63,【参考】数式用!$AR$3:$AS$49, 2, FALSE), "")</f>
        <v/>
      </c>
      <c r="AZ63" s="545" t="str">
        <f t="shared" si="10"/>
        <v/>
      </c>
      <c r="BA63" s="548" t="str">
        <f t="shared" si="21"/>
        <v>入力済</v>
      </c>
      <c r="BB63" s="547" t="str">
        <f>IFERROR(VLOOKUP(K63,【参考】数式用!$AX$3:$AY$56, 2, FALSE), "")</f>
        <v/>
      </c>
      <c r="BC63" s="545" t="str">
        <f t="shared" si="11"/>
        <v/>
      </c>
      <c r="BD63" s="548" t="str">
        <f t="shared" si="36"/>
        <v>入力済</v>
      </c>
      <c r="BE63" s="548" t="str">
        <f t="shared" si="12"/>
        <v/>
      </c>
      <c r="BF63" s="548" t="str">
        <f t="shared" si="13"/>
        <v/>
      </c>
      <c r="BG63" s="548" t="str">
        <f t="shared" si="14"/>
        <v/>
      </c>
      <c r="BH63" s="548" t="str">
        <f t="shared" si="15"/>
        <v/>
      </c>
      <c r="BI63" s="548" t="str">
        <f t="shared" si="16"/>
        <v/>
      </c>
      <c r="BM63" s="634" t="e">
        <f>VLOOKUP(K63,【参考】数式用!$A$2:$O$57,15,FALSE)</f>
        <v>#N/A</v>
      </c>
    </row>
    <row r="64" spans="1:65" ht="109.9" customHeight="1" thickBot="1">
      <c r="A64" s="454">
        <v>53</v>
      </c>
      <c r="B64" s="933" t="str">
        <f>IF(基本情報入力シート!B92="","",基本情報入力シート!B92)</f>
        <v/>
      </c>
      <c r="C64" s="934"/>
      <c r="D64" s="934"/>
      <c r="E64" s="934"/>
      <c r="F64" s="935"/>
      <c r="G64" s="455" t="str">
        <f>IF(基本情報入力シート!L92="", "", 基本情報入力シート!L92)</f>
        <v/>
      </c>
      <c r="H64" s="455" t="str">
        <f>IF(基本情報入力シート!Q92="", "", 基本情報入力シート!Q92)</f>
        <v/>
      </c>
      <c r="I64" s="455" t="str">
        <f>IF(基本情報入力シート!V92="", "", 基本情報入力シート!V92)</f>
        <v/>
      </c>
      <c r="J64" s="455" t="str">
        <f>IF(基本情報入力シート!W92="", "", 基本情報入力シート!W92)</f>
        <v/>
      </c>
      <c r="K64" s="455" t="str">
        <f>IF(基本情報入力シート!Z92="", "", 基本情報入力シート!Z92)</f>
        <v/>
      </c>
      <c r="L64" s="101" t="str">
        <f>IF(基本情報入力シート!AF92=0, "",基本情報入力シート!AF92)</f>
        <v/>
      </c>
      <c r="M64" s="142" t="str">
        <f>IF(AND(基本情報入力シート!AG92="",基本情報入力シート!AG92=""), "", 基本情報入力シート!AG92)</f>
        <v/>
      </c>
      <c r="N64" s="136"/>
      <c r="O64" s="155" t="str">
        <f>IFERROR(VLOOKUP(K64,【参考】数式用!$A$2:$M$57,MATCH(N64,【参考】数式用!$G$3:$M$3,0)+6,0),"")</f>
        <v/>
      </c>
      <c r="P64" s="456" t="s">
        <v>180</v>
      </c>
      <c r="Q64" s="141"/>
      <c r="R64" s="457" t="s">
        <v>271</v>
      </c>
      <c r="S64" s="141"/>
      <c r="T64" s="457" t="s">
        <v>272</v>
      </c>
      <c r="U64" s="141"/>
      <c r="V64" s="457" t="s">
        <v>271</v>
      </c>
      <c r="W64" s="141"/>
      <c r="X64" s="457" t="s">
        <v>273</v>
      </c>
      <c r="Y64" s="457" t="s">
        <v>274</v>
      </c>
      <c r="Z64" s="457" t="str">
        <f t="shared" si="0"/>
        <v/>
      </c>
      <c r="AA64" s="458" t="s">
        <v>275</v>
      </c>
      <c r="AB64" s="459" t="str">
        <f t="shared" si="1"/>
        <v/>
      </c>
      <c r="AC64" s="460" t="str">
        <f>IFERROR(ROUNDDOWN(ROUNDDOWN(ROUND(L64*VLOOKUP(K64,【参考】数式用!$A$2:$M$57,MATCH("処遇改善加算Ⅳ",【参考】数式用!$G$3:$M$3,0)+6,0),0)*M64,0)*Z64*0.5,0), "")</f>
        <v/>
      </c>
      <c r="AD64" s="156"/>
      <c r="AE64" s="157"/>
      <c r="AF64" s="157"/>
      <c r="AG64" s="158"/>
      <c r="AH64" s="159"/>
      <c r="AI64" s="160"/>
      <c r="AJ64" s="161"/>
      <c r="AK64" s="542" t="str">
        <f t="shared" si="17"/>
        <v/>
      </c>
      <c r="AL64" s="543" t="str">
        <f t="shared" si="2"/>
        <v/>
      </c>
      <c r="AM64" s="544"/>
      <c r="AN64" s="545" t="str">
        <f>IFERROR(VLOOKUP(K64,【参考】数式用!$A$2:$N$57,14,FALSE),"")</f>
        <v/>
      </c>
      <c r="AO64" s="545" t="str">
        <f t="shared" si="3"/>
        <v/>
      </c>
      <c r="AP64" s="546" t="str">
        <f t="shared" si="18"/>
        <v/>
      </c>
      <c r="AQ64" s="546" t="str">
        <f t="shared" si="19"/>
        <v>キャリアパス要件Ⅰ・Ⅱ_</v>
      </c>
      <c r="AR64" s="547" t="str">
        <f t="shared" si="20"/>
        <v>入力済</v>
      </c>
      <c r="AS64" s="545" t="str">
        <f t="shared" si="4"/>
        <v/>
      </c>
      <c r="AT64" s="547" t="str">
        <f t="shared" si="5"/>
        <v>入力済</v>
      </c>
      <c r="AU64" s="547" t="str">
        <f t="shared" si="6"/>
        <v/>
      </c>
      <c r="AV64" s="547" t="str">
        <f t="shared" si="7"/>
        <v/>
      </c>
      <c r="AW64" s="545" t="str">
        <f t="shared" si="8"/>
        <v/>
      </c>
      <c r="AX64" s="545" t="str">
        <f t="shared" si="9"/>
        <v>入力済</v>
      </c>
      <c r="AY64" s="547" t="str">
        <f>IFERROR(VLOOKUP(K64,【参考】数式用!$AR$3:$AS$49, 2, FALSE), "")</f>
        <v/>
      </c>
      <c r="AZ64" s="545" t="str">
        <f t="shared" si="10"/>
        <v/>
      </c>
      <c r="BA64" s="548" t="str">
        <f t="shared" si="21"/>
        <v>入力済</v>
      </c>
      <c r="BB64" s="547" t="str">
        <f>IFERROR(VLOOKUP(K64,【参考】数式用!$AX$3:$AY$56, 2, FALSE), "")</f>
        <v/>
      </c>
      <c r="BC64" s="545" t="str">
        <f t="shared" si="11"/>
        <v/>
      </c>
      <c r="BD64" s="548" t="str">
        <f t="shared" si="36"/>
        <v>入力済</v>
      </c>
      <c r="BE64" s="548" t="str">
        <f t="shared" si="12"/>
        <v/>
      </c>
      <c r="BF64" s="548" t="str">
        <f t="shared" si="13"/>
        <v/>
      </c>
      <c r="BG64" s="548" t="str">
        <f t="shared" si="14"/>
        <v/>
      </c>
      <c r="BH64" s="548" t="str">
        <f t="shared" si="15"/>
        <v/>
      </c>
      <c r="BI64" s="548" t="str">
        <f t="shared" si="16"/>
        <v/>
      </c>
      <c r="BM64" s="634" t="e">
        <f>VLOOKUP(K64,【参考】数式用!$A$2:$O$57,15,FALSE)</f>
        <v>#N/A</v>
      </c>
    </row>
    <row r="65" spans="1:65" ht="109.9" customHeight="1" thickBot="1">
      <c r="A65" s="454">
        <v>54</v>
      </c>
      <c r="B65" s="933" t="str">
        <f>IF(基本情報入力シート!B93="","",基本情報入力シート!B93)</f>
        <v/>
      </c>
      <c r="C65" s="934"/>
      <c r="D65" s="934"/>
      <c r="E65" s="934"/>
      <c r="F65" s="935"/>
      <c r="G65" s="455" t="str">
        <f>IF(基本情報入力シート!L93="", "", 基本情報入力シート!L93)</f>
        <v/>
      </c>
      <c r="H65" s="455" t="str">
        <f>IF(基本情報入力シート!Q93="", "", 基本情報入力シート!Q93)</f>
        <v/>
      </c>
      <c r="I65" s="455" t="str">
        <f>IF(基本情報入力シート!V93="", "", 基本情報入力シート!V93)</f>
        <v/>
      </c>
      <c r="J65" s="455" t="str">
        <f>IF(基本情報入力シート!W93="", "", 基本情報入力シート!W93)</f>
        <v/>
      </c>
      <c r="K65" s="455" t="str">
        <f>IF(基本情報入力シート!Z93="", "", 基本情報入力シート!Z93)</f>
        <v/>
      </c>
      <c r="L65" s="101" t="str">
        <f>IF(基本情報入力シート!AF93=0, "",基本情報入力シート!AF93)</f>
        <v/>
      </c>
      <c r="M65" s="142" t="str">
        <f>IF(AND(基本情報入力シート!AG93="",基本情報入力シート!AG93=""), "", 基本情報入力シート!AG93)</f>
        <v/>
      </c>
      <c r="N65" s="136"/>
      <c r="O65" s="155" t="str">
        <f>IFERROR(VLOOKUP(K65,【参考】数式用!$A$2:$M$57,MATCH(N65,【参考】数式用!$G$3:$M$3,0)+6,0),"")</f>
        <v/>
      </c>
      <c r="P65" s="456" t="s">
        <v>180</v>
      </c>
      <c r="Q65" s="141"/>
      <c r="R65" s="457" t="s">
        <v>271</v>
      </c>
      <c r="S65" s="141"/>
      <c r="T65" s="457" t="s">
        <v>272</v>
      </c>
      <c r="U65" s="141"/>
      <c r="V65" s="457" t="s">
        <v>271</v>
      </c>
      <c r="W65" s="141"/>
      <c r="X65" s="457" t="s">
        <v>273</v>
      </c>
      <c r="Y65" s="457" t="s">
        <v>274</v>
      </c>
      <c r="Z65" s="457" t="str">
        <f t="shared" si="0"/>
        <v/>
      </c>
      <c r="AA65" s="458" t="s">
        <v>275</v>
      </c>
      <c r="AB65" s="459" t="str">
        <f t="shared" si="1"/>
        <v/>
      </c>
      <c r="AC65" s="460" t="str">
        <f>IFERROR(ROUNDDOWN(ROUNDDOWN(ROUND(L65*VLOOKUP(K65,【参考】数式用!$A$2:$M$57,MATCH("処遇改善加算Ⅳ",【参考】数式用!$G$3:$M$3,0)+6,0),0)*M65,0)*Z65*0.5,0), "")</f>
        <v/>
      </c>
      <c r="AD65" s="156"/>
      <c r="AE65" s="157"/>
      <c r="AF65" s="157"/>
      <c r="AG65" s="158"/>
      <c r="AH65" s="159"/>
      <c r="AI65" s="160"/>
      <c r="AJ65" s="161"/>
      <c r="AK65" s="542" t="str">
        <f t="shared" si="17"/>
        <v/>
      </c>
      <c r="AL65" s="543" t="str">
        <f t="shared" si="2"/>
        <v/>
      </c>
      <c r="AM65" s="544"/>
      <c r="AN65" s="545" t="str">
        <f>IFERROR(VLOOKUP(K65,【参考】数式用!$A$2:$N$57,14,FALSE),"")</f>
        <v/>
      </c>
      <c r="AO65" s="545" t="str">
        <f t="shared" si="3"/>
        <v/>
      </c>
      <c r="AP65" s="546" t="str">
        <f t="shared" si="18"/>
        <v/>
      </c>
      <c r="AQ65" s="546" t="str">
        <f t="shared" si="19"/>
        <v>キャリアパス要件Ⅰ・Ⅱ_</v>
      </c>
      <c r="AR65" s="547" t="str">
        <f t="shared" si="20"/>
        <v>入力済</v>
      </c>
      <c r="AS65" s="545" t="str">
        <f t="shared" si="4"/>
        <v/>
      </c>
      <c r="AT65" s="547" t="str">
        <f t="shared" si="5"/>
        <v>入力済</v>
      </c>
      <c r="AU65" s="547" t="str">
        <f t="shared" si="6"/>
        <v/>
      </c>
      <c r="AV65" s="547" t="str">
        <f t="shared" si="7"/>
        <v/>
      </c>
      <c r="AW65" s="545" t="str">
        <f t="shared" si="8"/>
        <v/>
      </c>
      <c r="AX65" s="545" t="str">
        <f t="shared" si="9"/>
        <v>入力済</v>
      </c>
      <c r="AY65" s="547" t="str">
        <f>IFERROR(VLOOKUP(K65,【参考】数式用!$AR$3:$AS$49, 2, FALSE), "")</f>
        <v/>
      </c>
      <c r="AZ65" s="545" t="str">
        <f t="shared" si="10"/>
        <v/>
      </c>
      <c r="BA65" s="548" t="str">
        <f t="shared" si="21"/>
        <v>入力済</v>
      </c>
      <c r="BB65" s="547" t="str">
        <f>IFERROR(VLOOKUP(K65,【参考】数式用!$AX$3:$AY$56, 2, FALSE), "")</f>
        <v/>
      </c>
      <c r="BC65" s="545" t="str">
        <f t="shared" si="11"/>
        <v/>
      </c>
      <c r="BD65" s="548" t="str">
        <f t="shared" si="36"/>
        <v>入力済</v>
      </c>
      <c r="BE65" s="548" t="str">
        <f t="shared" si="12"/>
        <v/>
      </c>
      <c r="BF65" s="548" t="str">
        <f t="shared" si="13"/>
        <v/>
      </c>
      <c r="BG65" s="548" t="str">
        <f t="shared" si="14"/>
        <v/>
      </c>
      <c r="BH65" s="548" t="str">
        <f t="shared" si="15"/>
        <v/>
      </c>
      <c r="BI65" s="548" t="str">
        <f t="shared" si="16"/>
        <v/>
      </c>
      <c r="BM65" s="634" t="e">
        <f>VLOOKUP(K65,【参考】数式用!$A$2:$O$57,15,FALSE)</f>
        <v>#N/A</v>
      </c>
    </row>
    <row r="66" spans="1:65" ht="109.9" customHeight="1" thickBot="1">
      <c r="A66" s="454">
        <v>55</v>
      </c>
      <c r="B66" s="933" t="str">
        <f>IF(基本情報入力シート!B94="","",基本情報入力シート!B94)</f>
        <v/>
      </c>
      <c r="C66" s="934"/>
      <c r="D66" s="934"/>
      <c r="E66" s="934"/>
      <c r="F66" s="935"/>
      <c r="G66" s="455" t="str">
        <f>IF(基本情報入力シート!L94="", "", 基本情報入力シート!L94)</f>
        <v/>
      </c>
      <c r="H66" s="455" t="str">
        <f>IF(基本情報入力シート!Q94="", "", 基本情報入力シート!Q94)</f>
        <v/>
      </c>
      <c r="I66" s="455" t="str">
        <f>IF(基本情報入力シート!V94="", "", 基本情報入力シート!V94)</f>
        <v/>
      </c>
      <c r="J66" s="455" t="str">
        <f>IF(基本情報入力シート!W94="", "", 基本情報入力シート!W94)</f>
        <v/>
      </c>
      <c r="K66" s="455" t="str">
        <f>IF(基本情報入力シート!Z94="", "", 基本情報入力シート!Z94)</f>
        <v/>
      </c>
      <c r="L66" s="101" t="str">
        <f>IF(基本情報入力シート!AF94=0, "",基本情報入力シート!AF94)</f>
        <v/>
      </c>
      <c r="M66" s="142" t="str">
        <f>IF(AND(基本情報入力シート!AG94="",基本情報入力シート!AG94=""), "", 基本情報入力シート!AG94)</f>
        <v/>
      </c>
      <c r="N66" s="136"/>
      <c r="O66" s="155" t="str">
        <f>IFERROR(VLOOKUP(K66,【参考】数式用!$A$2:$M$57,MATCH(N66,【参考】数式用!$G$3:$M$3,0)+6,0),"")</f>
        <v/>
      </c>
      <c r="P66" s="456" t="s">
        <v>180</v>
      </c>
      <c r="Q66" s="141"/>
      <c r="R66" s="457" t="s">
        <v>271</v>
      </c>
      <c r="S66" s="141"/>
      <c r="T66" s="457" t="s">
        <v>272</v>
      </c>
      <c r="U66" s="141"/>
      <c r="V66" s="457" t="s">
        <v>271</v>
      </c>
      <c r="W66" s="141"/>
      <c r="X66" s="457" t="s">
        <v>182</v>
      </c>
      <c r="Y66" s="457" t="s">
        <v>274</v>
      </c>
      <c r="Z66" s="457" t="str">
        <f t="shared" si="0"/>
        <v/>
      </c>
      <c r="AA66" s="458" t="s">
        <v>275</v>
      </c>
      <c r="AB66" s="459" t="str">
        <f t="shared" si="1"/>
        <v/>
      </c>
      <c r="AC66" s="460" t="str">
        <f>IFERROR(ROUNDDOWN(ROUNDDOWN(ROUND(L66*VLOOKUP(K66,【参考】数式用!$A$2:$M$57,MATCH("処遇改善加算Ⅳ",【参考】数式用!$G$3:$M$3,0)+6,0),0)*M66,0)*Z66*0.5,0), "")</f>
        <v/>
      </c>
      <c r="AD66" s="156"/>
      <c r="AE66" s="157"/>
      <c r="AF66" s="157"/>
      <c r="AG66" s="158"/>
      <c r="AH66" s="159"/>
      <c r="AI66" s="160"/>
      <c r="AJ66" s="161"/>
      <c r="AK66" s="542" t="str">
        <f t="shared" si="17"/>
        <v/>
      </c>
      <c r="AL66" s="543" t="str">
        <f t="shared" si="2"/>
        <v/>
      </c>
      <c r="AM66" s="544"/>
      <c r="AN66" s="545" t="str">
        <f>IFERROR(VLOOKUP(K66,【参考】数式用!$A$2:$N$57,14,FALSE),"")</f>
        <v/>
      </c>
      <c r="AO66" s="545" t="str">
        <f t="shared" si="3"/>
        <v/>
      </c>
      <c r="AP66" s="546" t="str">
        <f t="shared" si="18"/>
        <v/>
      </c>
      <c r="AQ66" s="546" t="str">
        <f t="shared" si="19"/>
        <v>キャリアパス要件Ⅰ・Ⅱ_</v>
      </c>
      <c r="AR66" s="547" t="str">
        <f t="shared" si="20"/>
        <v>入力済</v>
      </c>
      <c r="AS66" s="545" t="str">
        <f t="shared" si="4"/>
        <v/>
      </c>
      <c r="AT66" s="547" t="str">
        <f t="shared" si="5"/>
        <v>入力済</v>
      </c>
      <c r="AU66" s="547" t="str">
        <f t="shared" si="6"/>
        <v/>
      </c>
      <c r="AV66" s="547" t="str">
        <f t="shared" si="7"/>
        <v/>
      </c>
      <c r="AW66" s="545" t="str">
        <f t="shared" si="8"/>
        <v/>
      </c>
      <c r="AX66" s="545" t="str">
        <f t="shared" si="9"/>
        <v>入力済</v>
      </c>
      <c r="AY66" s="547" t="str">
        <f>IFERROR(VLOOKUP(K66,【参考】数式用!$AR$3:$AS$49, 2, FALSE), "")</f>
        <v/>
      </c>
      <c r="AZ66" s="545" t="str">
        <f t="shared" si="10"/>
        <v/>
      </c>
      <c r="BA66" s="548" t="str">
        <f t="shared" si="21"/>
        <v>入力済</v>
      </c>
      <c r="BB66" s="547" t="str">
        <f>IFERROR(VLOOKUP(K66,【参考】数式用!$AX$3:$AY$56, 2, FALSE), "")</f>
        <v/>
      </c>
      <c r="BC66" s="545" t="str">
        <f t="shared" si="11"/>
        <v/>
      </c>
      <c r="BD66" s="548" t="str">
        <f t="shared" si="36"/>
        <v>入力済</v>
      </c>
      <c r="BE66" s="548" t="str">
        <f t="shared" si="12"/>
        <v/>
      </c>
      <c r="BF66" s="548" t="str">
        <f t="shared" si="13"/>
        <v/>
      </c>
      <c r="BG66" s="548" t="str">
        <f t="shared" si="14"/>
        <v/>
      </c>
      <c r="BH66" s="548" t="str">
        <f t="shared" si="15"/>
        <v/>
      </c>
      <c r="BI66" s="548" t="str">
        <f t="shared" si="16"/>
        <v/>
      </c>
      <c r="BM66" s="634" t="e">
        <f>VLOOKUP(K66,【参考】数式用!$A$2:$O$57,15,FALSE)</f>
        <v>#N/A</v>
      </c>
    </row>
    <row r="67" spans="1:65" ht="109.9" customHeight="1" thickBot="1">
      <c r="A67" s="454">
        <v>56</v>
      </c>
      <c r="B67" s="933" t="str">
        <f>IF(基本情報入力シート!B95="","",基本情報入力シート!B95)</f>
        <v/>
      </c>
      <c r="C67" s="934"/>
      <c r="D67" s="934"/>
      <c r="E67" s="934"/>
      <c r="F67" s="935"/>
      <c r="G67" s="455" t="str">
        <f>IF(基本情報入力シート!L95="", "", 基本情報入力シート!L95)</f>
        <v/>
      </c>
      <c r="H67" s="455" t="str">
        <f>IF(基本情報入力シート!Q95="", "", 基本情報入力シート!Q95)</f>
        <v/>
      </c>
      <c r="I67" s="455" t="str">
        <f>IF(基本情報入力シート!V95="", "", 基本情報入力シート!V95)</f>
        <v/>
      </c>
      <c r="J67" s="455" t="str">
        <f>IF(基本情報入力シート!W95="", "", 基本情報入力シート!W95)</f>
        <v/>
      </c>
      <c r="K67" s="455" t="str">
        <f>IF(基本情報入力シート!Z95="", "", 基本情報入力シート!Z95)</f>
        <v/>
      </c>
      <c r="L67" s="101" t="str">
        <f>IF(基本情報入力シート!AF95=0, "",基本情報入力シート!AF95)</f>
        <v/>
      </c>
      <c r="M67" s="142" t="str">
        <f>IF(AND(基本情報入力シート!AG95="",基本情報入力シート!AG95=""), "", 基本情報入力シート!AG95)</f>
        <v/>
      </c>
      <c r="N67" s="136"/>
      <c r="O67" s="155" t="str">
        <f>IFERROR(VLOOKUP(K67,【参考】数式用!$A$2:$M$57,MATCH(N67,【参考】数式用!$G$3:$M$3,0)+6,0),"")</f>
        <v/>
      </c>
      <c r="P67" s="456" t="s">
        <v>180</v>
      </c>
      <c r="Q67" s="141"/>
      <c r="R67" s="457" t="s">
        <v>271</v>
      </c>
      <c r="S67" s="141"/>
      <c r="T67" s="457" t="s">
        <v>272</v>
      </c>
      <c r="U67" s="141"/>
      <c r="V67" s="457" t="s">
        <v>271</v>
      </c>
      <c r="W67" s="141"/>
      <c r="X67" s="457" t="s">
        <v>273</v>
      </c>
      <c r="Y67" s="457" t="s">
        <v>274</v>
      </c>
      <c r="Z67" s="457" t="str">
        <f t="shared" si="0"/>
        <v/>
      </c>
      <c r="AA67" s="458" t="s">
        <v>275</v>
      </c>
      <c r="AB67" s="459" t="str">
        <f t="shared" si="1"/>
        <v/>
      </c>
      <c r="AC67" s="460" t="str">
        <f>IFERROR(ROUNDDOWN(ROUNDDOWN(ROUND(L67*VLOOKUP(K67,【参考】数式用!$A$2:$M$57,MATCH("処遇改善加算Ⅳ",【参考】数式用!$G$3:$M$3,0)+6,0),0)*M67,0)*Z67*0.5,0), "")</f>
        <v/>
      </c>
      <c r="AD67" s="156"/>
      <c r="AE67" s="157"/>
      <c r="AF67" s="157"/>
      <c r="AG67" s="158"/>
      <c r="AH67" s="159"/>
      <c r="AI67" s="160"/>
      <c r="AJ67" s="161"/>
      <c r="AK67" s="542" t="str">
        <f t="shared" si="17"/>
        <v/>
      </c>
      <c r="AL67" s="543" t="str">
        <f t="shared" si="2"/>
        <v/>
      </c>
      <c r="AM67" s="544"/>
      <c r="AN67" s="545" t="str">
        <f>IFERROR(VLOOKUP(K67,【参考】数式用!$A$2:$N$57,14,FALSE),"")</f>
        <v/>
      </c>
      <c r="AO67" s="545" t="str">
        <f t="shared" si="3"/>
        <v/>
      </c>
      <c r="AP67" s="546" t="str">
        <f t="shared" si="18"/>
        <v/>
      </c>
      <c r="AQ67" s="546" t="str">
        <f t="shared" si="19"/>
        <v>キャリアパス要件Ⅰ・Ⅱ_</v>
      </c>
      <c r="AR67" s="547" t="str">
        <f t="shared" si="20"/>
        <v>入力済</v>
      </c>
      <c r="AS67" s="545" t="str">
        <f t="shared" si="4"/>
        <v/>
      </c>
      <c r="AT67" s="547" t="str">
        <f t="shared" si="5"/>
        <v>入力済</v>
      </c>
      <c r="AU67" s="547" t="str">
        <f t="shared" si="6"/>
        <v/>
      </c>
      <c r="AV67" s="547" t="str">
        <f t="shared" si="7"/>
        <v/>
      </c>
      <c r="AW67" s="545" t="str">
        <f t="shared" si="8"/>
        <v/>
      </c>
      <c r="AX67" s="545" t="str">
        <f t="shared" si="9"/>
        <v>入力済</v>
      </c>
      <c r="AY67" s="547" t="str">
        <f>IFERROR(VLOOKUP(K67,【参考】数式用!$AR$3:$AS$49, 2, FALSE), "")</f>
        <v/>
      </c>
      <c r="AZ67" s="545" t="str">
        <f t="shared" si="10"/>
        <v/>
      </c>
      <c r="BA67" s="548" t="str">
        <f t="shared" si="21"/>
        <v>入力済</v>
      </c>
      <c r="BB67" s="547" t="str">
        <f>IFERROR(VLOOKUP(K67,【参考】数式用!$AX$3:$AY$56, 2, FALSE), "")</f>
        <v/>
      </c>
      <c r="BC67" s="545" t="str">
        <f t="shared" si="11"/>
        <v/>
      </c>
      <c r="BD67" s="548" t="str">
        <f t="shared" si="36"/>
        <v>入力済</v>
      </c>
      <c r="BE67" s="548" t="str">
        <f t="shared" si="12"/>
        <v/>
      </c>
      <c r="BF67" s="548" t="str">
        <f t="shared" si="13"/>
        <v/>
      </c>
      <c r="BG67" s="548" t="str">
        <f t="shared" si="14"/>
        <v/>
      </c>
      <c r="BH67" s="548" t="str">
        <f t="shared" si="15"/>
        <v/>
      </c>
      <c r="BI67" s="548" t="str">
        <f t="shared" si="16"/>
        <v/>
      </c>
      <c r="BM67" s="634" t="e">
        <f>VLOOKUP(K67,【参考】数式用!$A$2:$O$57,15,FALSE)</f>
        <v>#N/A</v>
      </c>
    </row>
    <row r="68" spans="1:65" ht="109.9" customHeight="1" thickBot="1">
      <c r="A68" s="454">
        <v>57</v>
      </c>
      <c r="B68" s="933" t="str">
        <f>IF(基本情報入力シート!B96="","",基本情報入力シート!B96)</f>
        <v/>
      </c>
      <c r="C68" s="934"/>
      <c r="D68" s="934"/>
      <c r="E68" s="934"/>
      <c r="F68" s="935"/>
      <c r="G68" s="455" t="str">
        <f>IF(基本情報入力シート!L96="", "", 基本情報入力シート!L96)</f>
        <v/>
      </c>
      <c r="H68" s="455" t="str">
        <f>IF(基本情報入力シート!Q96="", "", 基本情報入力シート!Q96)</f>
        <v/>
      </c>
      <c r="I68" s="455" t="str">
        <f>IF(基本情報入力シート!V96="", "", 基本情報入力シート!V96)</f>
        <v/>
      </c>
      <c r="J68" s="455" t="str">
        <f>IF(基本情報入力シート!W96="", "", 基本情報入力シート!W96)</f>
        <v/>
      </c>
      <c r="K68" s="455" t="str">
        <f>IF(基本情報入力シート!Z96="", "", 基本情報入力シート!Z96)</f>
        <v/>
      </c>
      <c r="L68" s="101" t="str">
        <f>IF(基本情報入力シート!AF96=0, "",基本情報入力シート!AF96)</f>
        <v/>
      </c>
      <c r="M68" s="142" t="str">
        <f>IF(AND(基本情報入力シート!AG96="",基本情報入力シート!AG96=""), "", 基本情報入力シート!AG96)</f>
        <v/>
      </c>
      <c r="N68" s="136"/>
      <c r="O68" s="155" t="str">
        <f>IFERROR(VLOOKUP(K68,【参考】数式用!$A$2:$M$57,MATCH(N68,【参考】数式用!$G$3:$M$3,0)+6,0),"")</f>
        <v/>
      </c>
      <c r="P68" s="456" t="s">
        <v>180</v>
      </c>
      <c r="Q68" s="141"/>
      <c r="R68" s="457" t="s">
        <v>271</v>
      </c>
      <c r="S68" s="141"/>
      <c r="T68" s="457" t="s">
        <v>272</v>
      </c>
      <c r="U68" s="141"/>
      <c r="V68" s="457" t="s">
        <v>271</v>
      </c>
      <c r="W68" s="141"/>
      <c r="X68" s="457" t="s">
        <v>273</v>
      </c>
      <c r="Y68" s="457" t="s">
        <v>274</v>
      </c>
      <c r="Z68" s="457" t="str">
        <f t="shared" si="0"/>
        <v/>
      </c>
      <c r="AA68" s="458" t="s">
        <v>275</v>
      </c>
      <c r="AB68" s="459" t="str">
        <f t="shared" si="1"/>
        <v/>
      </c>
      <c r="AC68" s="460" t="str">
        <f>IFERROR(ROUNDDOWN(ROUNDDOWN(ROUND(L68*VLOOKUP(K68,【参考】数式用!$A$2:$M$57,MATCH("処遇改善加算Ⅳ",【参考】数式用!$G$3:$M$3,0)+6,0),0)*M68,0)*Z68*0.5,0), "")</f>
        <v/>
      </c>
      <c r="AD68" s="156"/>
      <c r="AE68" s="157"/>
      <c r="AF68" s="157"/>
      <c r="AG68" s="158"/>
      <c r="AH68" s="159"/>
      <c r="AI68" s="160"/>
      <c r="AJ68" s="161"/>
      <c r="AK68" s="542" t="str">
        <f t="shared" si="17"/>
        <v/>
      </c>
      <c r="AL68" s="543" t="str">
        <f t="shared" si="2"/>
        <v/>
      </c>
      <c r="AM68" s="544"/>
      <c r="AN68" s="545" t="str">
        <f>IFERROR(VLOOKUP(K68,【参考】数式用!$A$2:$N$57,14,FALSE),"")</f>
        <v/>
      </c>
      <c r="AO68" s="545" t="str">
        <f t="shared" si="3"/>
        <v/>
      </c>
      <c r="AP68" s="546" t="str">
        <f t="shared" si="18"/>
        <v/>
      </c>
      <c r="AQ68" s="546" t="str">
        <f t="shared" si="19"/>
        <v>キャリアパス要件Ⅰ・Ⅱ_</v>
      </c>
      <c r="AR68" s="547" t="str">
        <f t="shared" si="20"/>
        <v>入力済</v>
      </c>
      <c r="AS68" s="545" t="str">
        <f t="shared" si="4"/>
        <v/>
      </c>
      <c r="AT68" s="547" t="str">
        <f t="shared" si="5"/>
        <v>入力済</v>
      </c>
      <c r="AU68" s="547" t="str">
        <f t="shared" si="6"/>
        <v/>
      </c>
      <c r="AV68" s="547" t="str">
        <f t="shared" si="7"/>
        <v/>
      </c>
      <c r="AW68" s="545" t="str">
        <f t="shared" si="8"/>
        <v/>
      </c>
      <c r="AX68" s="545" t="str">
        <f t="shared" si="9"/>
        <v>入力済</v>
      </c>
      <c r="AY68" s="547" t="str">
        <f>IFERROR(VLOOKUP(K68,【参考】数式用!$AR$3:$AS$49, 2, FALSE), "")</f>
        <v/>
      </c>
      <c r="AZ68" s="545" t="str">
        <f t="shared" si="10"/>
        <v/>
      </c>
      <c r="BA68" s="548" t="str">
        <f t="shared" si="21"/>
        <v>入力済</v>
      </c>
      <c r="BB68" s="547" t="str">
        <f>IFERROR(VLOOKUP(K68,【参考】数式用!$AX$3:$AY$56, 2, FALSE), "")</f>
        <v/>
      </c>
      <c r="BC68" s="545" t="str">
        <f t="shared" si="11"/>
        <v/>
      </c>
      <c r="BD68" s="548" t="str">
        <f t="shared" si="36"/>
        <v>入力済</v>
      </c>
      <c r="BE68" s="548" t="str">
        <f t="shared" si="12"/>
        <v/>
      </c>
      <c r="BF68" s="548" t="str">
        <f t="shared" si="13"/>
        <v/>
      </c>
      <c r="BG68" s="548" t="str">
        <f t="shared" si="14"/>
        <v/>
      </c>
      <c r="BH68" s="548" t="str">
        <f t="shared" si="15"/>
        <v/>
      </c>
      <c r="BI68" s="548" t="str">
        <f t="shared" si="16"/>
        <v/>
      </c>
      <c r="BM68" s="634" t="e">
        <f>VLOOKUP(K68,【参考】数式用!$A$2:$O$57,15,FALSE)</f>
        <v>#N/A</v>
      </c>
    </row>
    <row r="69" spans="1:65" ht="109.9" customHeight="1" thickBot="1">
      <c r="A69" s="454">
        <v>58</v>
      </c>
      <c r="B69" s="933" t="str">
        <f>IF(基本情報入力シート!B97="","",基本情報入力シート!B97)</f>
        <v/>
      </c>
      <c r="C69" s="934"/>
      <c r="D69" s="934"/>
      <c r="E69" s="934"/>
      <c r="F69" s="935"/>
      <c r="G69" s="455" t="str">
        <f>IF(基本情報入力シート!L97="", "", 基本情報入力シート!L97)</f>
        <v/>
      </c>
      <c r="H69" s="455" t="str">
        <f>IF(基本情報入力シート!Q97="", "", 基本情報入力シート!Q97)</f>
        <v/>
      </c>
      <c r="I69" s="455" t="str">
        <f>IF(基本情報入力シート!V97="", "", 基本情報入力シート!V97)</f>
        <v/>
      </c>
      <c r="J69" s="455" t="str">
        <f>IF(基本情報入力シート!W97="", "", 基本情報入力シート!W97)</f>
        <v/>
      </c>
      <c r="K69" s="455" t="str">
        <f>IF(基本情報入力シート!Z97="", "", 基本情報入力シート!Z97)</f>
        <v/>
      </c>
      <c r="L69" s="101" t="str">
        <f>IF(基本情報入力シート!AF97=0, "",基本情報入力シート!AF97)</f>
        <v/>
      </c>
      <c r="M69" s="142" t="str">
        <f>IF(AND(基本情報入力シート!AG97="",基本情報入力シート!AG97=""), "", 基本情報入力シート!AG97)</f>
        <v/>
      </c>
      <c r="N69" s="136"/>
      <c r="O69" s="155" t="str">
        <f>IFERROR(VLOOKUP(K69,【参考】数式用!$A$2:$M$57,MATCH(N69,【参考】数式用!$G$3:$M$3,0)+6,0),"")</f>
        <v/>
      </c>
      <c r="P69" s="456" t="s">
        <v>180</v>
      </c>
      <c r="Q69" s="141"/>
      <c r="R69" s="457" t="s">
        <v>271</v>
      </c>
      <c r="S69" s="141"/>
      <c r="T69" s="457" t="s">
        <v>272</v>
      </c>
      <c r="U69" s="141"/>
      <c r="V69" s="457" t="s">
        <v>271</v>
      </c>
      <c r="W69" s="141"/>
      <c r="X69" s="457" t="s">
        <v>273</v>
      </c>
      <c r="Y69" s="457" t="s">
        <v>274</v>
      </c>
      <c r="Z69" s="457" t="str">
        <f t="shared" si="0"/>
        <v/>
      </c>
      <c r="AA69" s="458" t="s">
        <v>275</v>
      </c>
      <c r="AB69" s="459" t="str">
        <f t="shared" si="1"/>
        <v/>
      </c>
      <c r="AC69" s="460" t="str">
        <f>IFERROR(ROUNDDOWN(ROUNDDOWN(ROUND(L69*VLOOKUP(K69,【参考】数式用!$A$2:$M$57,MATCH("処遇改善加算Ⅳ",【参考】数式用!$G$3:$M$3,0)+6,0),0)*M69,0)*Z69*0.5,0), "")</f>
        <v/>
      </c>
      <c r="AD69" s="156"/>
      <c r="AE69" s="157"/>
      <c r="AF69" s="157"/>
      <c r="AG69" s="158"/>
      <c r="AH69" s="159"/>
      <c r="AI69" s="160"/>
      <c r="AJ69" s="161"/>
      <c r="AK69" s="542" t="str">
        <f t="shared" si="17"/>
        <v/>
      </c>
      <c r="AL69" s="543" t="str">
        <f t="shared" si="2"/>
        <v/>
      </c>
      <c r="AM69" s="544"/>
      <c r="AN69" s="545" t="str">
        <f>IFERROR(VLOOKUP(K69,【参考】数式用!$A$2:$N$57,14,FALSE),"")</f>
        <v/>
      </c>
      <c r="AO69" s="545" t="str">
        <f t="shared" si="3"/>
        <v/>
      </c>
      <c r="AP69" s="546" t="str">
        <f t="shared" si="18"/>
        <v/>
      </c>
      <c r="AQ69" s="546" t="str">
        <f t="shared" si="19"/>
        <v>キャリアパス要件Ⅰ・Ⅱ_</v>
      </c>
      <c r="AR69" s="547" t="str">
        <f t="shared" si="20"/>
        <v>入力済</v>
      </c>
      <c r="AS69" s="545" t="str">
        <f t="shared" si="4"/>
        <v/>
      </c>
      <c r="AT69" s="547" t="str">
        <f t="shared" si="5"/>
        <v>入力済</v>
      </c>
      <c r="AU69" s="547" t="str">
        <f t="shared" si="6"/>
        <v/>
      </c>
      <c r="AV69" s="547" t="str">
        <f t="shared" si="7"/>
        <v/>
      </c>
      <c r="AW69" s="545" t="str">
        <f t="shared" si="8"/>
        <v/>
      </c>
      <c r="AX69" s="545" t="str">
        <f t="shared" si="9"/>
        <v>入力済</v>
      </c>
      <c r="AY69" s="547" t="str">
        <f>IFERROR(VLOOKUP(K69,【参考】数式用!$AR$3:$AS$49, 2, FALSE), "")</f>
        <v/>
      </c>
      <c r="AZ69" s="545" t="str">
        <f t="shared" si="10"/>
        <v/>
      </c>
      <c r="BA69" s="548" t="str">
        <f t="shared" si="21"/>
        <v>入力済</v>
      </c>
      <c r="BB69" s="547" t="str">
        <f>IFERROR(VLOOKUP(K69,【参考】数式用!$AX$3:$AY$56, 2, FALSE), "")</f>
        <v/>
      </c>
      <c r="BC69" s="545" t="str">
        <f t="shared" si="11"/>
        <v/>
      </c>
      <c r="BD69" s="548" t="str">
        <f t="shared" si="36"/>
        <v>入力済</v>
      </c>
      <c r="BE69" s="548" t="str">
        <f t="shared" si="12"/>
        <v/>
      </c>
      <c r="BF69" s="548" t="str">
        <f t="shared" si="13"/>
        <v/>
      </c>
      <c r="BG69" s="548" t="str">
        <f t="shared" si="14"/>
        <v/>
      </c>
      <c r="BH69" s="548" t="str">
        <f t="shared" si="15"/>
        <v/>
      </c>
      <c r="BI69" s="548" t="str">
        <f t="shared" si="16"/>
        <v/>
      </c>
      <c r="BM69" s="634" t="e">
        <f>VLOOKUP(K69,【参考】数式用!$A$2:$O$57,15,FALSE)</f>
        <v>#N/A</v>
      </c>
    </row>
    <row r="70" spans="1:65" ht="109.9" customHeight="1" thickBot="1">
      <c r="A70" s="454">
        <v>59</v>
      </c>
      <c r="B70" s="933" t="str">
        <f>IF(基本情報入力シート!B98="","",基本情報入力シート!B98)</f>
        <v/>
      </c>
      <c r="C70" s="934"/>
      <c r="D70" s="934"/>
      <c r="E70" s="934"/>
      <c r="F70" s="935"/>
      <c r="G70" s="455" t="str">
        <f>IF(基本情報入力シート!L98="", "", 基本情報入力シート!L98)</f>
        <v/>
      </c>
      <c r="H70" s="455" t="str">
        <f>IF(基本情報入力シート!Q98="", "", 基本情報入力シート!Q98)</f>
        <v/>
      </c>
      <c r="I70" s="455" t="str">
        <f>IF(基本情報入力シート!V98="", "", 基本情報入力シート!V98)</f>
        <v/>
      </c>
      <c r="J70" s="455" t="str">
        <f>IF(基本情報入力シート!W98="", "", 基本情報入力シート!W98)</f>
        <v/>
      </c>
      <c r="K70" s="455" t="str">
        <f>IF(基本情報入力シート!Z98="", "", 基本情報入力シート!Z98)</f>
        <v/>
      </c>
      <c r="L70" s="101" t="str">
        <f>IF(基本情報入力シート!AF98=0, "",基本情報入力シート!AF98)</f>
        <v/>
      </c>
      <c r="M70" s="142" t="str">
        <f>IF(AND(基本情報入力シート!AG98="",基本情報入力シート!AG98=""), "", 基本情報入力シート!AG98)</f>
        <v/>
      </c>
      <c r="N70" s="136"/>
      <c r="O70" s="155" t="str">
        <f>IFERROR(VLOOKUP(K70,【参考】数式用!$A$2:$M$57,MATCH(N70,【参考】数式用!$G$3:$M$3,0)+6,0),"")</f>
        <v/>
      </c>
      <c r="P70" s="456" t="s">
        <v>180</v>
      </c>
      <c r="Q70" s="141"/>
      <c r="R70" s="457" t="s">
        <v>271</v>
      </c>
      <c r="S70" s="141"/>
      <c r="T70" s="457" t="s">
        <v>272</v>
      </c>
      <c r="U70" s="141"/>
      <c r="V70" s="457" t="s">
        <v>271</v>
      </c>
      <c r="W70" s="141"/>
      <c r="X70" s="457" t="s">
        <v>182</v>
      </c>
      <c r="Y70" s="457" t="s">
        <v>274</v>
      </c>
      <c r="Z70" s="457" t="str">
        <f t="shared" si="0"/>
        <v/>
      </c>
      <c r="AA70" s="458" t="s">
        <v>275</v>
      </c>
      <c r="AB70" s="459" t="str">
        <f t="shared" si="1"/>
        <v/>
      </c>
      <c r="AC70" s="460" t="str">
        <f>IFERROR(ROUNDDOWN(ROUNDDOWN(ROUND(L70*VLOOKUP(K70,【参考】数式用!$A$2:$M$57,MATCH("処遇改善加算Ⅳ",【参考】数式用!$G$3:$M$3,0)+6,0),0)*M70,0)*Z70*0.5,0), "")</f>
        <v/>
      </c>
      <c r="AD70" s="156"/>
      <c r="AE70" s="157"/>
      <c r="AF70" s="157"/>
      <c r="AG70" s="158"/>
      <c r="AH70" s="159"/>
      <c r="AI70" s="160"/>
      <c r="AJ70" s="161"/>
      <c r="AK70" s="542" t="str">
        <f t="shared" si="17"/>
        <v/>
      </c>
      <c r="AL70" s="543" t="str">
        <f t="shared" si="2"/>
        <v/>
      </c>
      <c r="AM70" s="544"/>
      <c r="AN70" s="545" t="str">
        <f>IFERROR(VLOOKUP(K70,【参考】数式用!$A$2:$N$57,14,FALSE),"")</f>
        <v/>
      </c>
      <c r="AO70" s="545" t="str">
        <f t="shared" si="3"/>
        <v/>
      </c>
      <c r="AP70" s="546" t="str">
        <f t="shared" si="18"/>
        <v/>
      </c>
      <c r="AQ70" s="546" t="str">
        <f t="shared" si="19"/>
        <v>キャリアパス要件Ⅰ・Ⅱ_</v>
      </c>
      <c r="AR70" s="547" t="str">
        <f t="shared" si="20"/>
        <v>入力済</v>
      </c>
      <c r="AS70" s="545" t="str">
        <f t="shared" si="4"/>
        <v/>
      </c>
      <c r="AT70" s="547" t="str">
        <f t="shared" si="5"/>
        <v>入力済</v>
      </c>
      <c r="AU70" s="547" t="str">
        <f t="shared" si="6"/>
        <v/>
      </c>
      <c r="AV70" s="547" t="str">
        <f t="shared" si="7"/>
        <v/>
      </c>
      <c r="AW70" s="545" t="str">
        <f t="shared" si="8"/>
        <v/>
      </c>
      <c r="AX70" s="545" t="str">
        <f t="shared" si="9"/>
        <v>入力済</v>
      </c>
      <c r="AY70" s="547" t="str">
        <f>IFERROR(VLOOKUP(K70,【参考】数式用!$AR$3:$AS$49, 2, FALSE), "")</f>
        <v/>
      </c>
      <c r="AZ70" s="545" t="str">
        <f t="shared" si="10"/>
        <v/>
      </c>
      <c r="BA70" s="548" t="str">
        <f t="shared" si="21"/>
        <v>入力済</v>
      </c>
      <c r="BB70" s="547" t="str">
        <f>IFERROR(VLOOKUP(K70,【参考】数式用!$AX$3:$AY$56, 2, FALSE), "")</f>
        <v/>
      </c>
      <c r="BC70" s="545" t="str">
        <f t="shared" si="11"/>
        <v/>
      </c>
      <c r="BD70" s="548" t="str">
        <f t="shared" si="36"/>
        <v>入力済</v>
      </c>
      <c r="BE70" s="548" t="str">
        <f t="shared" si="12"/>
        <v/>
      </c>
      <c r="BF70" s="548" t="str">
        <f t="shared" si="13"/>
        <v/>
      </c>
      <c r="BG70" s="548" t="str">
        <f t="shared" si="14"/>
        <v/>
      </c>
      <c r="BH70" s="548" t="str">
        <f t="shared" si="15"/>
        <v/>
      </c>
      <c r="BI70" s="548" t="str">
        <f t="shared" si="16"/>
        <v/>
      </c>
      <c r="BM70" s="634" t="e">
        <f>VLOOKUP(K70,【参考】数式用!$A$2:$O$57,15,FALSE)</f>
        <v>#N/A</v>
      </c>
    </row>
    <row r="71" spans="1:65" ht="109.9" customHeight="1" thickBot="1">
      <c r="A71" s="454">
        <v>60</v>
      </c>
      <c r="B71" s="933" t="str">
        <f>IF(基本情報入力シート!B99="","",基本情報入力シート!B99)</f>
        <v/>
      </c>
      <c r="C71" s="934"/>
      <c r="D71" s="934"/>
      <c r="E71" s="934"/>
      <c r="F71" s="935"/>
      <c r="G71" s="455" t="str">
        <f>IF(基本情報入力シート!L99="", "", 基本情報入力シート!L99)</f>
        <v/>
      </c>
      <c r="H71" s="455" t="str">
        <f>IF(基本情報入力シート!Q99="", "", 基本情報入力シート!Q99)</f>
        <v/>
      </c>
      <c r="I71" s="455" t="str">
        <f>IF(基本情報入力シート!V99="", "", 基本情報入力シート!V99)</f>
        <v/>
      </c>
      <c r="J71" s="455" t="str">
        <f>IF(基本情報入力シート!W99="", "", 基本情報入力シート!W99)</f>
        <v/>
      </c>
      <c r="K71" s="455" t="str">
        <f>IF(基本情報入力シート!Z99="", "", 基本情報入力シート!Z99)</f>
        <v/>
      </c>
      <c r="L71" s="101" t="str">
        <f>IF(基本情報入力シート!AF99=0, "",基本情報入力シート!AF99)</f>
        <v/>
      </c>
      <c r="M71" s="142" t="str">
        <f>IF(AND(基本情報入力シート!AG99="",基本情報入力シート!AG99=""), "", 基本情報入力シート!AG99)</f>
        <v/>
      </c>
      <c r="N71" s="136"/>
      <c r="O71" s="155" t="str">
        <f>IFERROR(VLOOKUP(K71,【参考】数式用!$A$2:$M$57,MATCH(N71,【参考】数式用!$G$3:$M$3,0)+6,0),"")</f>
        <v/>
      </c>
      <c r="P71" s="456" t="s">
        <v>180</v>
      </c>
      <c r="Q71" s="141"/>
      <c r="R71" s="457" t="s">
        <v>271</v>
      </c>
      <c r="S71" s="141"/>
      <c r="T71" s="457" t="s">
        <v>272</v>
      </c>
      <c r="U71" s="141"/>
      <c r="V71" s="457" t="s">
        <v>271</v>
      </c>
      <c r="W71" s="141"/>
      <c r="X71" s="457" t="s">
        <v>182</v>
      </c>
      <c r="Y71" s="457" t="s">
        <v>274</v>
      </c>
      <c r="Z71" s="457" t="str">
        <f t="shared" si="0"/>
        <v/>
      </c>
      <c r="AA71" s="458" t="s">
        <v>275</v>
      </c>
      <c r="AB71" s="459" t="str">
        <f t="shared" si="1"/>
        <v/>
      </c>
      <c r="AC71" s="460" t="str">
        <f>IFERROR(ROUNDDOWN(ROUNDDOWN(ROUND(L71*VLOOKUP(K71,【参考】数式用!$A$2:$M$57,MATCH("処遇改善加算Ⅳ",【参考】数式用!$G$3:$M$3,0)+6,0),0)*M71,0)*Z71*0.5,0), "")</f>
        <v/>
      </c>
      <c r="AD71" s="156"/>
      <c r="AE71" s="157"/>
      <c r="AF71" s="157"/>
      <c r="AG71" s="158"/>
      <c r="AH71" s="159"/>
      <c r="AI71" s="160"/>
      <c r="AJ71" s="161"/>
      <c r="AK71" s="542" t="str">
        <f t="shared" si="17"/>
        <v/>
      </c>
      <c r="AL71" s="543" t="str">
        <f t="shared" si="2"/>
        <v/>
      </c>
      <c r="AM71" s="544"/>
      <c r="AN71" s="545" t="str">
        <f>IFERROR(VLOOKUP(K71,【参考】数式用!$A$2:$N$57,14,FALSE),"")</f>
        <v/>
      </c>
      <c r="AO71" s="545" t="str">
        <f t="shared" si="3"/>
        <v/>
      </c>
      <c r="AP71" s="546" t="str">
        <f t="shared" si="18"/>
        <v/>
      </c>
      <c r="AQ71" s="546" t="str">
        <f t="shared" si="19"/>
        <v>キャリアパス要件Ⅰ・Ⅱ_</v>
      </c>
      <c r="AR71" s="547" t="str">
        <f t="shared" si="20"/>
        <v>入力済</v>
      </c>
      <c r="AS71" s="545" t="str">
        <f t="shared" si="4"/>
        <v/>
      </c>
      <c r="AT71" s="547" t="str">
        <f t="shared" si="5"/>
        <v>入力済</v>
      </c>
      <c r="AU71" s="547" t="str">
        <f t="shared" si="6"/>
        <v/>
      </c>
      <c r="AV71" s="547" t="str">
        <f t="shared" si="7"/>
        <v/>
      </c>
      <c r="AW71" s="545" t="str">
        <f t="shared" si="8"/>
        <v/>
      </c>
      <c r="AX71" s="545" t="str">
        <f t="shared" si="9"/>
        <v>入力済</v>
      </c>
      <c r="AY71" s="547" t="str">
        <f>IFERROR(VLOOKUP(K71,【参考】数式用!$AR$3:$AS$49, 2, FALSE), "")</f>
        <v/>
      </c>
      <c r="AZ71" s="545" t="str">
        <f t="shared" si="10"/>
        <v/>
      </c>
      <c r="BA71" s="548" t="str">
        <f t="shared" si="21"/>
        <v>入力済</v>
      </c>
      <c r="BB71" s="547" t="str">
        <f>IFERROR(VLOOKUP(K71,【参考】数式用!$AX$3:$AY$56, 2, FALSE), "")</f>
        <v/>
      </c>
      <c r="BC71" s="545" t="str">
        <f t="shared" si="11"/>
        <v/>
      </c>
      <c r="BD71" s="548" t="str">
        <f t="shared" si="36"/>
        <v>入力済</v>
      </c>
      <c r="BE71" s="548" t="str">
        <f t="shared" si="12"/>
        <v/>
      </c>
      <c r="BF71" s="548" t="str">
        <f t="shared" si="13"/>
        <v/>
      </c>
      <c r="BG71" s="548" t="str">
        <f t="shared" si="14"/>
        <v/>
      </c>
      <c r="BH71" s="548" t="str">
        <f t="shared" si="15"/>
        <v/>
      </c>
      <c r="BI71" s="548" t="str">
        <f t="shared" si="16"/>
        <v/>
      </c>
      <c r="BM71" s="634" t="e">
        <f>VLOOKUP(K71,【参考】数式用!$A$2:$O$57,15,FALSE)</f>
        <v>#N/A</v>
      </c>
    </row>
    <row r="72" spans="1:65" ht="109.9" customHeight="1" thickBot="1">
      <c r="A72" s="454">
        <v>61</v>
      </c>
      <c r="B72" s="933" t="str">
        <f>IF(基本情報入力シート!B100="","",基本情報入力シート!B100)</f>
        <v/>
      </c>
      <c r="C72" s="934"/>
      <c r="D72" s="934"/>
      <c r="E72" s="934"/>
      <c r="F72" s="935"/>
      <c r="G72" s="455" t="str">
        <f>IF(基本情報入力シート!L100="", "", 基本情報入力シート!L100)</f>
        <v/>
      </c>
      <c r="H72" s="455" t="str">
        <f>IF(基本情報入力シート!Q100="", "", 基本情報入力シート!Q100)</f>
        <v/>
      </c>
      <c r="I72" s="455" t="str">
        <f>IF(基本情報入力シート!V100="", "", 基本情報入力シート!V100)</f>
        <v/>
      </c>
      <c r="J72" s="455" t="str">
        <f>IF(基本情報入力シート!W100="", "", 基本情報入力シート!W100)</f>
        <v/>
      </c>
      <c r="K72" s="455" t="str">
        <f>IF(基本情報入力シート!Z100="", "", 基本情報入力シート!Z100)</f>
        <v/>
      </c>
      <c r="L72" s="101" t="str">
        <f>IF(基本情報入力シート!AF100=0, "",基本情報入力シート!AF100)</f>
        <v/>
      </c>
      <c r="M72" s="142" t="str">
        <f>IF(AND(基本情報入力シート!AG100="",基本情報入力シート!AG100=""), "", 基本情報入力シート!AG100)</f>
        <v/>
      </c>
      <c r="N72" s="136"/>
      <c r="O72" s="155" t="str">
        <f>IFERROR(VLOOKUP(K72,【参考】数式用!$A$2:$M$57,MATCH(N72,【参考】数式用!$G$3:$M$3,0)+6,0),"")</f>
        <v/>
      </c>
      <c r="P72" s="456" t="s">
        <v>180</v>
      </c>
      <c r="Q72" s="141"/>
      <c r="R72" s="457" t="s">
        <v>271</v>
      </c>
      <c r="S72" s="141"/>
      <c r="T72" s="457" t="s">
        <v>272</v>
      </c>
      <c r="U72" s="141"/>
      <c r="V72" s="457" t="s">
        <v>271</v>
      </c>
      <c r="W72" s="141"/>
      <c r="X72" s="457" t="s">
        <v>273</v>
      </c>
      <c r="Y72" s="457" t="s">
        <v>274</v>
      </c>
      <c r="Z72" s="457" t="str">
        <f t="shared" si="0"/>
        <v/>
      </c>
      <c r="AA72" s="458" t="s">
        <v>275</v>
      </c>
      <c r="AB72" s="459" t="str">
        <f t="shared" si="1"/>
        <v/>
      </c>
      <c r="AC72" s="460" t="str">
        <f>IFERROR(ROUNDDOWN(ROUNDDOWN(ROUND(L72*VLOOKUP(K72,【参考】数式用!$A$2:$M$57,MATCH("処遇改善加算Ⅳ",【参考】数式用!$G$3:$M$3,0)+6,0),0)*M72,0)*Z72*0.5,0), "")</f>
        <v/>
      </c>
      <c r="AD72" s="156"/>
      <c r="AE72" s="157"/>
      <c r="AF72" s="157"/>
      <c r="AG72" s="158"/>
      <c r="AH72" s="159"/>
      <c r="AI72" s="160"/>
      <c r="AJ72" s="161"/>
      <c r="AK72" s="542" t="str">
        <f t="shared" si="17"/>
        <v/>
      </c>
      <c r="AL72" s="543" t="str">
        <f t="shared" si="2"/>
        <v/>
      </c>
      <c r="AM72" s="544"/>
      <c r="AN72" s="545" t="str">
        <f>IFERROR(VLOOKUP(K72,【参考】数式用!$A$2:$N$57,14,FALSE),"")</f>
        <v/>
      </c>
      <c r="AO72" s="545" t="str">
        <f t="shared" si="3"/>
        <v/>
      </c>
      <c r="AP72" s="546" t="str">
        <f t="shared" si="18"/>
        <v/>
      </c>
      <c r="AQ72" s="546" t="str">
        <f t="shared" si="19"/>
        <v>キャリアパス要件Ⅰ・Ⅱ_</v>
      </c>
      <c r="AR72" s="547" t="str">
        <f t="shared" si="20"/>
        <v>入力済</v>
      </c>
      <c r="AS72" s="545" t="str">
        <f t="shared" si="4"/>
        <v/>
      </c>
      <c r="AT72" s="547" t="str">
        <f t="shared" si="5"/>
        <v>入力済</v>
      </c>
      <c r="AU72" s="547" t="str">
        <f t="shared" si="6"/>
        <v/>
      </c>
      <c r="AV72" s="547" t="str">
        <f t="shared" si="7"/>
        <v/>
      </c>
      <c r="AW72" s="545" t="str">
        <f t="shared" si="8"/>
        <v/>
      </c>
      <c r="AX72" s="545" t="str">
        <f t="shared" si="9"/>
        <v>入力済</v>
      </c>
      <c r="AY72" s="547" t="str">
        <f>IFERROR(VLOOKUP(K72,【参考】数式用!$AR$3:$AS$49, 2, FALSE), "")</f>
        <v/>
      </c>
      <c r="AZ72" s="545" t="str">
        <f t="shared" si="10"/>
        <v/>
      </c>
      <c r="BA72" s="548" t="str">
        <f t="shared" si="21"/>
        <v>入力済</v>
      </c>
      <c r="BB72" s="547" t="str">
        <f>IFERROR(VLOOKUP(K72,【参考】数式用!$AX$3:$AY$56, 2, FALSE), "")</f>
        <v/>
      </c>
      <c r="BC72" s="545" t="str">
        <f t="shared" si="11"/>
        <v/>
      </c>
      <c r="BD72" s="548" t="str">
        <f t="shared" si="36"/>
        <v>入力済</v>
      </c>
      <c r="BE72" s="548" t="str">
        <f t="shared" si="12"/>
        <v/>
      </c>
      <c r="BF72" s="548" t="str">
        <f t="shared" si="13"/>
        <v/>
      </c>
      <c r="BG72" s="548" t="str">
        <f t="shared" si="14"/>
        <v/>
      </c>
      <c r="BH72" s="548" t="str">
        <f t="shared" si="15"/>
        <v/>
      </c>
      <c r="BI72" s="548" t="str">
        <f t="shared" si="16"/>
        <v/>
      </c>
      <c r="BM72" s="634" t="e">
        <f>VLOOKUP(K72,【参考】数式用!$A$2:$O$57,15,FALSE)</f>
        <v>#N/A</v>
      </c>
    </row>
    <row r="73" spans="1:65" ht="109.9" customHeight="1" thickBot="1">
      <c r="A73" s="454">
        <v>62</v>
      </c>
      <c r="B73" s="933" t="str">
        <f>IF(基本情報入力シート!B101="","",基本情報入力シート!B101)</f>
        <v/>
      </c>
      <c r="C73" s="934"/>
      <c r="D73" s="934"/>
      <c r="E73" s="934"/>
      <c r="F73" s="935"/>
      <c r="G73" s="455" t="str">
        <f>IF(基本情報入力シート!L101="", "", 基本情報入力シート!L101)</f>
        <v/>
      </c>
      <c r="H73" s="455" t="str">
        <f>IF(基本情報入力シート!Q101="", "", 基本情報入力シート!Q101)</f>
        <v/>
      </c>
      <c r="I73" s="455" t="str">
        <f>IF(基本情報入力シート!V101="", "", 基本情報入力シート!V101)</f>
        <v/>
      </c>
      <c r="J73" s="455" t="str">
        <f>IF(基本情報入力シート!W101="", "", 基本情報入力シート!W101)</f>
        <v/>
      </c>
      <c r="K73" s="455" t="str">
        <f>IF(基本情報入力シート!Z101="", "", 基本情報入力シート!Z101)</f>
        <v/>
      </c>
      <c r="L73" s="101" t="str">
        <f>IF(基本情報入力シート!AF101=0, "",基本情報入力シート!AF101)</f>
        <v/>
      </c>
      <c r="M73" s="142" t="str">
        <f>IF(AND(基本情報入力シート!AG101="",基本情報入力シート!AG101=""), "", 基本情報入力シート!AG101)</f>
        <v/>
      </c>
      <c r="N73" s="136"/>
      <c r="O73" s="155" t="str">
        <f>IFERROR(VLOOKUP(K73,【参考】数式用!$A$2:$M$57,MATCH(N73,【参考】数式用!$G$3:$M$3,0)+6,0),"")</f>
        <v/>
      </c>
      <c r="P73" s="456" t="s">
        <v>180</v>
      </c>
      <c r="Q73" s="141"/>
      <c r="R73" s="457" t="s">
        <v>271</v>
      </c>
      <c r="S73" s="141"/>
      <c r="T73" s="457" t="s">
        <v>272</v>
      </c>
      <c r="U73" s="141"/>
      <c r="V73" s="457" t="s">
        <v>271</v>
      </c>
      <c r="W73" s="141"/>
      <c r="X73" s="457" t="s">
        <v>273</v>
      </c>
      <c r="Y73" s="457" t="s">
        <v>274</v>
      </c>
      <c r="Z73" s="457" t="str">
        <f t="shared" si="0"/>
        <v/>
      </c>
      <c r="AA73" s="458" t="s">
        <v>275</v>
      </c>
      <c r="AB73" s="459" t="str">
        <f t="shared" si="1"/>
        <v/>
      </c>
      <c r="AC73" s="460" t="str">
        <f>IFERROR(ROUNDDOWN(ROUNDDOWN(ROUND(L73*VLOOKUP(K73,【参考】数式用!$A$2:$M$57,MATCH("処遇改善加算Ⅳ",【参考】数式用!$G$3:$M$3,0)+6,0),0)*M73,0)*Z73*0.5,0), "")</f>
        <v/>
      </c>
      <c r="AD73" s="156"/>
      <c r="AE73" s="157"/>
      <c r="AF73" s="157"/>
      <c r="AG73" s="158"/>
      <c r="AH73" s="159"/>
      <c r="AI73" s="160"/>
      <c r="AJ73" s="161"/>
      <c r="AK73" s="542" t="str">
        <f t="shared" si="17"/>
        <v/>
      </c>
      <c r="AL73" s="543" t="str">
        <f t="shared" si="2"/>
        <v/>
      </c>
      <c r="AM73" s="544"/>
      <c r="AN73" s="545" t="str">
        <f>IFERROR(VLOOKUP(K73,【参考】数式用!$A$2:$N$57,14,FALSE),"")</f>
        <v/>
      </c>
      <c r="AO73" s="545" t="str">
        <f t="shared" si="3"/>
        <v/>
      </c>
      <c r="AP73" s="546" t="str">
        <f t="shared" si="18"/>
        <v/>
      </c>
      <c r="AQ73" s="546" t="str">
        <f t="shared" si="19"/>
        <v>キャリアパス要件Ⅰ・Ⅱ_</v>
      </c>
      <c r="AR73" s="547" t="str">
        <f t="shared" si="20"/>
        <v>入力済</v>
      </c>
      <c r="AS73" s="545" t="str">
        <f t="shared" si="4"/>
        <v/>
      </c>
      <c r="AT73" s="547" t="str">
        <f t="shared" si="5"/>
        <v>入力済</v>
      </c>
      <c r="AU73" s="547" t="str">
        <f t="shared" si="6"/>
        <v/>
      </c>
      <c r="AV73" s="547" t="str">
        <f t="shared" si="7"/>
        <v/>
      </c>
      <c r="AW73" s="545" t="str">
        <f t="shared" si="8"/>
        <v/>
      </c>
      <c r="AX73" s="545" t="str">
        <f t="shared" si="9"/>
        <v>入力済</v>
      </c>
      <c r="AY73" s="547" t="str">
        <f>IFERROR(VLOOKUP(K73,【参考】数式用!$AR$3:$AS$49, 2, FALSE), "")</f>
        <v/>
      </c>
      <c r="AZ73" s="545" t="str">
        <f t="shared" si="10"/>
        <v/>
      </c>
      <c r="BA73" s="548" t="str">
        <f t="shared" si="21"/>
        <v>入力済</v>
      </c>
      <c r="BB73" s="547" t="str">
        <f>IFERROR(VLOOKUP(K73,【参考】数式用!$AX$3:$AY$56, 2, FALSE), "")</f>
        <v/>
      </c>
      <c r="BC73" s="545" t="str">
        <f t="shared" si="11"/>
        <v/>
      </c>
      <c r="BD73" s="548" t="str">
        <f t="shared" si="36"/>
        <v>入力済</v>
      </c>
      <c r="BE73" s="548" t="str">
        <f t="shared" si="12"/>
        <v/>
      </c>
      <c r="BF73" s="548" t="str">
        <f t="shared" si="13"/>
        <v/>
      </c>
      <c r="BG73" s="548" t="str">
        <f t="shared" si="14"/>
        <v/>
      </c>
      <c r="BH73" s="548" t="str">
        <f t="shared" si="15"/>
        <v/>
      </c>
      <c r="BI73" s="548" t="str">
        <f t="shared" si="16"/>
        <v/>
      </c>
      <c r="BM73" s="634" t="e">
        <f>VLOOKUP(K73,【参考】数式用!$A$2:$O$57,15,FALSE)</f>
        <v>#N/A</v>
      </c>
    </row>
    <row r="74" spans="1:65" ht="109.9" customHeight="1" thickBot="1">
      <c r="A74" s="454">
        <v>63</v>
      </c>
      <c r="B74" s="933" t="str">
        <f>IF(基本情報入力シート!B102="","",基本情報入力シート!B102)</f>
        <v/>
      </c>
      <c r="C74" s="934"/>
      <c r="D74" s="934"/>
      <c r="E74" s="934"/>
      <c r="F74" s="935"/>
      <c r="G74" s="455" t="str">
        <f>IF(基本情報入力シート!L102="", "", 基本情報入力シート!L102)</f>
        <v/>
      </c>
      <c r="H74" s="455" t="str">
        <f>IF(基本情報入力シート!Q102="", "", 基本情報入力シート!Q102)</f>
        <v/>
      </c>
      <c r="I74" s="455" t="str">
        <f>IF(基本情報入力シート!V102="", "", 基本情報入力シート!V102)</f>
        <v/>
      </c>
      <c r="J74" s="455" t="str">
        <f>IF(基本情報入力シート!W102="", "", 基本情報入力シート!W102)</f>
        <v/>
      </c>
      <c r="K74" s="455" t="str">
        <f>IF(基本情報入力シート!Z102="", "", 基本情報入力シート!Z102)</f>
        <v/>
      </c>
      <c r="L74" s="101" t="str">
        <f>IF(基本情報入力シート!AF102=0, "",基本情報入力シート!AF102)</f>
        <v/>
      </c>
      <c r="M74" s="142" t="str">
        <f>IF(AND(基本情報入力シート!AG102="",基本情報入力シート!AG102=""), "", 基本情報入力シート!AG102)</f>
        <v/>
      </c>
      <c r="N74" s="136"/>
      <c r="O74" s="155" t="str">
        <f>IFERROR(VLOOKUP(K74,【参考】数式用!$A$2:$M$57,MATCH(N74,【参考】数式用!$G$3:$M$3,0)+6,0),"")</f>
        <v/>
      </c>
      <c r="P74" s="456" t="s">
        <v>180</v>
      </c>
      <c r="Q74" s="141"/>
      <c r="R74" s="457" t="s">
        <v>271</v>
      </c>
      <c r="S74" s="141"/>
      <c r="T74" s="457" t="s">
        <v>272</v>
      </c>
      <c r="U74" s="141"/>
      <c r="V74" s="457" t="s">
        <v>271</v>
      </c>
      <c r="W74" s="141"/>
      <c r="X74" s="457" t="s">
        <v>273</v>
      </c>
      <c r="Y74" s="457" t="s">
        <v>274</v>
      </c>
      <c r="Z74" s="457" t="str">
        <f t="shared" si="0"/>
        <v/>
      </c>
      <c r="AA74" s="458" t="s">
        <v>275</v>
      </c>
      <c r="AB74" s="459" t="str">
        <f t="shared" si="1"/>
        <v/>
      </c>
      <c r="AC74" s="460" t="str">
        <f>IFERROR(ROUNDDOWN(ROUNDDOWN(ROUND(L74*VLOOKUP(K74,【参考】数式用!$A$2:$M$57,MATCH("処遇改善加算Ⅳ",【参考】数式用!$G$3:$M$3,0)+6,0),0)*M74,0)*Z74*0.5,0), "")</f>
        <v/>
      </c>
      <c r="AD74" s="156"/>
      <c r="AE74" s="157"/>
      <c r="AF74" s="157"/>
      <c r="AG74" s="158"/>
      <c r="AH74" s="159"/>
      <c r="AI74" s="160"/>
      <c r="AJ74" s="161"/>
      <c r="AK74" s="542" t="str">
        <f t="shared" si="17"/>
        <v/>
      </c>
      <c r="AL74" s="543" t="str">
        <f t="shared" si="2"/>
        <v/>
      </c>
      <c r="AM74" s="544"/>
      <c r="AN74" s="545" t="str">
        <f>IFERROR(VLOOKUP(K74,【参考】数式用!$A$2:$N$57,14,FALSE),"")</f>
        <v/>
      </c>
      <c r="AO74" s="545" t="str">
        <f t="shared" si="3"/>
        <v/>
      </c>
      <c r="AP74" s="546" t="str">
        <f t="shared" si="18"/>
        <v/>
      </c>
      <c r="AQ74" s="546" t="str">
        <f t="shared" si="19"/>
        <v>キャリアパス要件Ⅰ・Ⅱ_</v>
      </c>
      <c r="AR74" s="547" t="str">
        <f t="shared" si="20"/>
        <v>入力済</v>
      </c>
      <c r="AS74" s="545" t="str">
        <f t="shared" si="4"/>
        <v/>
      </c>
      <c r="AT74" s="547" t="str">
        <f t="shared" si="5"/>
        <v>入力済</v>
      </c>
      <c r="AU74" s="547" t="str">
        <f t="shared" si="6"/>
        <v/>
      </c>
      <c r="AV74" s="547" t="str">
        <f t="shared" si="7"/>
        <v/>
      </c>
      <c r="AW74" s="545" t="str">
        <f t="shared" si="8"/>
        <v/>
      </c>
      <c r="AX74" s="545" t="str">
        <f t="shared" si="9"/>
        <v>入力済</v>
      </c>
      <c r="AY74" s="547" t="str">
        <f>IFERROR(VLOOKUP(K74,【参考】数式用!$AR$3:$AS$49, 2, FALSE), "")</f>
        <v/>
      </c>
      <c r="AZ74" s="545" t="str">
        <f t="shared" si="10"/>
        <v/>
      </c>
      <c r="BA74" s="548" t="str">
        <f t="shared" si="21"/>
        <v>入力済</v>
      </c>
      <c r="BB74" s="547" t="str">
        <f>IFERROR(VLOOKUP(K74,【参考】数式用!$AX$3:$AY$56, 2, FALSE), "")</f>
        <v/>
      </c>
      <c r="BC74" s="545" t="str">
        <f t="shared" si="11"/>
        <v/>
      </c>
      <c r="BD74" s="548" t="str">
        <f t="shared" si="36"/>
        <v>入力済</v>
      </c>
      <c r="BE74" s="548" t="str">
        <f t="shared" si="12"/>
        <v/>
      </c>
      <c r="BF74" s="548" t="str">
        <f t="shared" si="13"/>
        <v/>
      </c>
      <c r="BG74" s="548" t="str">
        <f t="shared" si="14"/>
        <v/>
      </c>
      <c r="BH74" s="548" t="str">
        <f t="shared" si="15"/>
        <v/>
      </c>
      <c r="BI74" s="548" t="str">
        <f t="shared" si="16"/>
        <v/>
      </c>
      <c r="BM74" s="634" t="e">
        <f>VLOOKUP(K74,【参考】数式用!$A$2:$O$57,15,FALSE)</f>
        <v>#N/A</v>
      </c>
    </row>
    <row r="75" spans="1:65" ht="109.9" customHeight="1" thickBot="1">
      <c r="A75" s="454">
        <v>64</v>
      </c>
      <c r="B75" s="933" t="str">
        <f>IF(基本情報入力シート!B103="","",基本情報入力シート!B103)</f>
        <v/>
      </c>
      <c r="C75" s="934"/>
      <c r="D75" s="934"/>
      <c r="E75" s="934"/>
      <c r="F75" s="935"/>
      <c r="G75" s="455" t="str">
        <f>IF(基本情報入力シート!L103="", "", 基本情報入力シート!L103)</f>
        <v/>
      </c>
      <c r="H75" s="455" t="str">
        <f>IF(基本情報入力シート!Q103="", "", 基本情報入力シート!Q103)</f>
        <v/>
      </c>
      <c r="I75" s="455" t="str">
        <f>IF(基本情報入力シート!V103="", "", 基本情報入力シート!V103)</f>
        <v/>
      </c>
      <c r="J75" s="455" t="str">
        <f>IF(基本情報入力シート!W103="", "", 基本情報入力シート!W103)</f>
        <v/>
      </c>
      <c r="K75" s="455" t="str">
        <f>IF(基本情報入力シート!Z103="", "", 基本情報入力シート!Z103)</f>
        <v/>
      </c>
      <c r="L75" s="101" t="str">
        <f>IF(基本情報入力シート!AF103=0, "",基本情報入力シート!AF103)</f>
        <v/>
      </c>
      <c r="M75" s="142" t="str">
        <f>IF(AND(基本情報入力シート!AG103="",基本情報入力シート!AG103=""), "", 基本情報入力シート!AG103)</f>
        <v/>
      </c>
      <c r="N75" s="136"/>
      <c r="O75" s="155" t="str">
        <f>IFERROR(VLOOKUP(K75,【参考】数式用!$A$2:$M$57,MATCH(N75,【参考】数式用!$G$3:$M$3,0)+6,0),"")</f>
        <v/>
      </c>
      <c r="P75" s="456" t="s">
        <v>180</v>
      </c>
      <c r="Q75" s="141"/>
      <c r="R75" s="457" t="s">
        <v>271</v>
      </c>
      <c r="S75" s="141"/>
      <c r="T75" s="457" t="s">
        <v>272</v>
      </c>
      <c r="U75" s="141"/>
      <c r="V75" s="457" t="s">
        <v>271</v>
      </c>
      <c r="W75" s="141"/>
      <c r="X75" s="457" t="s">
        <v>182</v>
      </c>
      <c r="Y75" s="457" t="s">
        <v>274</v>
      </c>
      <c r="Z75" s="457" t="str">
        <f t="shared" si="0"/>
        <v/>
      </c>
      <c r="AA75" s="458" t="s">
        <v>275</v>
      </c>
      <c r="AB75" s="459" t="str">
        <f t="shared" si="1"/>
        <v/>
      </c>
      <c r="AC75" s="460" t="str">
        <f>IFERROR(ROUNDDOWN(ROUNDDOWN(ROUND(L75*VLOOKUP(K75,【参考】数式用!$A$2:$M$57,MATCH("処遇改善加算Ⅳ",【参考】数式用!$G$3:$M$3,0)+6,0),0)*M75,0)*Z75*0.5,0), "")</f>
        <v/>
      </c>
      <c r="AD75" s="156"/>
      <c r="AE75" s="157"/>
      <c r="AF75" s="157"/>
      <c r="AG75" s="158"/>
      <c r="AH75" s="159"/>
      <c r="AI75" s="160"/>
      <c r="AJ75" s="161"/>
      <c r="AK75" s="542" t="str">
        <f t="shared" si="17"/>
        <v/>
      </c>
      <c r="AL75" s="543" t="str">
        <f t="shared" si="2"/>
        <v/>
      </c>
      <c r="AM75" s="544"/>
      <c r="AN75" s="545" t="str">
        <f>IFERROR(VLOOKUP(K75,【参考】数式用!$A$2:$N$57,14,FALSE),"")</f>
        <v/>
      </c>
      <c r="AO75" s="545" t="str">
        <f t="shared" si="3"/>
        <v/>
      </c>
      <c r="AP75" s="546" t="str">
        <f t="shared" si="18"/>
        <v/>
      </c>
      <c r="AQ75" s="546" t="str">
        <f t="shared" si="19"/>
        <v>キャリアパス要件Ⅰ・Ⅱ_</v>
      </c>
      <c r="AR75" s="547" t="str">
        <f t="shared" si="20"/>
        <v>入力済</v>
      </c>
      <c r="AS75" s="545" t="str">
        <f t="shared" si="4"/>
        <v/>
      </c>
      <c r="AT75" s="547" t="str">
        <f t="shared" si="5"/>
        <v>入力済</v>
      </c>
      <c r="AU75" s="547" t="str">
        <f t="shared" si="6"/>
        <v/>
      </c>
      <c r="AV75" s="547" t="str">
        <f t="shared" si="7"/>
        <v/>
      </c>
      <c r="AW75" s="545" t="str">
        <f t="shared" si="8"/>
        <v/>
      </c>
      <c r="AX75" s="545" t="str">
        <f t="shared" si="9"/>
        <v>入力済</v>
      </c>
      <c r="AY75" s="547" t="str">
        <f>IFERROR(VLOOKUP(K75,【参考】数式用!$AR$3:$AS$49, 2, FALSE), "")</f>
        <v/>
      </c>
      <c r="AZ75" s="545" t="str">
        <f t="shared" si="10"/>
        <v/>
      </c>
      <c r="BA75" s="548" t="str">
        <f t="shared" si="21"/>
        <v>入力済</v>
      </c>
      <c r="BB75" s="547" t="str">
        <f>IFERROR(VLOOKUP(K75,【参考】数式用!$AX$3:$AY$56, 2, FALSE), "")</f>
        <v/>
      </c>
      <c r="BC75" s="545" t="str">
        <f t="shared" si="11"/>
        <v/>
      </c>
      <c r="BD75" s="548" t="str">
        <f t="shared" si="36"/>
        <v>入力済</v>
      </c>
      <c r="BE75" s="548" t="str">
        <f t="shared" si="12"/>
        <v/>
      </c>
      <c r="BF75" s="548" t="str">
        <f t="shared" si="13"/>
        <v/>
      </c>
      <c r="BG75" s="548" t="str">
        <f t="shared" si="14"/>
        <v/>
      </c>
      <c r="BH75" s="548" t="str">
        <f t="shared" si="15"/>
        <v/>
      </c>
      <c r="BI75" s="548" t="str">
        <f t="shared" si="16"/>
        <v/>
      </c>
      <c r="BM75" s="634" t="e">
        <f>VLOOKUP(K75,【参考】数式用!$A$2:$O$57,15,FALSE)</f>
        <v>#N/A</v>
      </c>
    </row>
    <row r="76" spans="1:65" ht="109.9" customHeight="1" thickBot="1">
      <c r="A76" s="454">
        <v>65</v>
      </c>
      <c r="B76" s="933" t="str">
        <f>IF(基本情報入力シート!B104="","",基本情報入力シート!B104)</f>
        <v/>
      </c>
      <c r="C76" s="934"/>
      <c r="D76" s="934"/>
      <c r="E76" s="934"/>
      <c r="F76" s="935"/>
      <c r="G76" s="455" t="str">
        <f>IF(基本情報入力シート!L104="", "", 基本情報入力シート!L104)</f>
        <v/>
      </c>
      <c r="H76" s="455" t="str">
        <f>IF(基本情報入力シート!Q104="", "", 基本情報入力シート!Q104)</f>
        <v/>
      </c>
      <c r="I76" s="455" t="str">
        <f>IF(基本情報入力シート!V104="", "", 基本情報入力シート!V104)</f>
        <v/>
      </c>
      <c r="J76" s="455" t="str">
        <f>IF(基本情報入力シート!W104="", "", 基本情報入力シート!W104)</f>
        <v/>
      </c>
      <c r="K76" s="455" t="str">
        <f>IF(基本情報入力シート!Z104="", "", 基本情報入力シート!Z104)</f>
        <v/>
      </c>
      <c r="L76" s="101" t="str">
        <f>IF(基本情報入力シート!AF104=0, "",基本情報入力シート!AF104)</f>
        <v/>
      </c>
      <c r="M76" s="142" t="str">
        <f>IF(AND(基本情報入力シート!AG104="",基本情報入力シート!AG104=""), "", 基本情報入力シート!AG104)</f>
        <v/>
      </c>
      <c r="N76" s="136"/>
      <c r="O76" s="155" t="str">
        <f>IFERROR(VLOOKUP(K76,【参考】数式用!$A$2:$M$57,MATCH(N76,【参考】数式用!$G$3:$M$3,0)+6,0),"")</f>
        <v/>
      </c>
      <c r="P76" s="456" t="s">
        <v>180</v>
      </c>
      <c r="Q76" s="141"/>
      <c r="R76" s="457" t="s">
        <v>271</v>
      </c>
      <c r="S76" s="141"/>
      <c r="T76" s="457" t="s">
        <v>272</v>
      </c>
      <c r="U76" s="141"/>
      <c r="V76" s="457" t="s">
        <v>271</v>
      </c>
      <c r="W76" s="141"/>
      <c r="X76" s="457" t="s">
        <v>273</v>
      </c>
      <c r="Y76" s="457" t="s">
        <v>274</v>
      </c>
      <c r="Z76" s="457" t="str">
        <f t="shared" si="0"/>
        <v/>
      </c>
      <c r="AA76" s="458" t="s">
        <v>275</v>
      </c>
      <c r="AB76" s="459" t="str">
        <f t="shared" si="1"/>
        <v/>
      </c>
      <c r="AC76" s="460" t="str">
        <f>IFERROR(ROUNDDOWN(ROUNDDOWN(ROUND(L76*VLOOKUP(K76,【参考】数式用!$A$2:$M$57,MATCH("処遇改善加算Ⅳ",【参考】数式用!$G$3:$M$3,0)+6,0),0)*M76,0)*Z76*0.5,0), "")</f>
        <v/>
      </c>
      <c r="AD76" s="156"/>
      <c r="AE76" s="157"/>
      <c r="AF76" s="157"/>
      <c r="AG76" s="158"/>
      <c r="AH76" s="159"/>
      <c r="AI76" s="160"/>
      <c r="AJ76" s="161"/>
      <c r="AK76" s="542" t="str">
        <f t="shared" si="17"/>
        <v/>
      </c>
      <c r="AL76" s="543" t="str">
        <f t="shared" si="2"/>
        <v/>
      </c>
      <c r="AM76" s="544"/>
      <c r="AN76" s="545" t="str">
        <f>IFERROR(VLOOKUP(K76,【参考】数式用!$A$2:$N$57,14,FALSE),"")</f>
        <v/>
      </c>
      <c r="AO76" s="545" t="str">
        <f t="shared" si="3"/>
        <v/>
      </c>
      <c r="AP76" s="546" t="str">
        <f t="shared" si="18"/>
        <v/>
      </c>
      <c r="AQ76" s="546" t="str">
        <f t="shared" si="19"/>
        <v>キャリアパス要件Ⅰ・Ⅱ_</v>
      </c>
      <c r="AR76" s="547" t="str">
        <f t="shared" si="20"/>
        <v>入力済</v>
      </c>
      <c r="AS76" s="545" t="str">
        <f t="shared" si="4"/>
        <v/>
      </c>
      <c r="AT76" s="547" t="str">
        <f t="shared" si="5"/>
        <v>入力済</v>
      </c>
      <c r="AU76" s="547" t="str">
        <f t="shared" si="6"/>
        <v/>
      </c>
      <c r="AV76" s="547" t="str">
        <f t="shared" si="7"/>
        <v/>
      </c>
      <c r="AW76" s="545" t="str">
        <f t="shared" si="8"/>
        <v/>
      </c>
      <c r="AX76" s="545" t="str">
        <f t="shared" si="9"/>
        <v>入力済</v>
      </c>
      <c r="AY76" s="547" t="str">
        <f>IFERROR(VLOOKUP(K76,【参考】数式用!$AR$3:$AS$49, 2, FALSE), "")</f>
        <v/>
      </c>
      <c r="AZ76" s="545" t="str">
        <f t="shared" si="10"/>
        <v/>
      </c>
      <c r="BA76" s="548" t="str">
        <f t="shared" si="21"/>
        <v>入力済</v>
      </c>
      <c r="BB76" s="547" t="str">
        <f>IFERROR(VLOOKUP(K76,【参考】数式用!$AX$3:$AY$56, 2, FALSE), "")</f>
        <v/>
      </c>
      <c r="BC76" s="545" t="str">
        <f t="shared" si="11"/>
        <v/>
      </c>
      <c r="BD76" s="548" t="str">
        <f t="shared" ref="BD76:BD111" si="37">IF(AND(COUNTIF(AE76:AH76,"*令和８年度特例要件を*")&gt;0,AJ76=""), "未入力","入力済")</f>
        <v>入力済</v>
      </c>
      <c r="BE76" s="548" t="str">
        <f t="shared" si="12"/>
        <v/>
      </c>
      <c r="BF76" s="548" t="str">
        <f t="shared" si="13"/>
        <v/>
      </c>
      <c r="BG76" s="548" t="str">
        <f t="shared" si="14"/>
        <v/>
      </c>
      <c r="BH76" s="548" t="str">
        <f t="shared" si="15"/>
        <v/>
      </c>
      <c r="BI76" s="548" t="str">
        <f t="shared" si="16"/>
        <v/>
      </c>
      <c r="BM76" s="634" t="e">
        <f>VLOOKUP(K76,【参考】数式用!$A$2:$O$57,15,FALSE)</f>
        <v>#N/A</v>
      </c>
    </row>
    <row r="77" spans="1:65" ht="109.9" customHeight="1" thickBot="1">
      <c r="A77" s="454">
        <v>66</v>
      </c>
      <c r="B77" s="933" t="str">
        <f>IF(基本情報入力シート!B105="","",基本情報入力シート!B105)</f>
        <v/>
      </c>
      <c r="C77" s="934"/>
      <c r="D77" s="934"/>
      <c r="E77" s="934"/>
      <c r="F77" s="935"/>
      <c r="G77" s="455" t="str">
        <f>IF(基本情報入力シート!L105="", "", 基本情報入力シート!L105)</f>
        <v/>
      </c>
      <c r="H77" s="455" t="str">
        <f>IF(基本情報入力シート!Q105="", "", 基本情報入力シート!Q105)</f>
        <v/>
      </c>
      <c r="I77" s="455" t="str">
        <f>IF(基本情報入力シート!V105="", "", 基本情報入力シート!V105)</f>
        <v/>
      </c>
      <c r="J77" s="455" t="str">
        <f>IF(基本情報入力シート!W105="", "", 基本情報入力シート!W105)</f>
        <v/>
      </c>
      <c r="K77" s="455" t="str">
        <f>IF(基本情報入力シート!Z105="", "", 基本情報入力シート!Z105)</f>
        <v/>
      </c>
      <c r="L77" s="101" t="str">
        <f>IF(基本情報入力シート!AF105=0, "",基本情報入力シート!AF105)</f>
        <v/>
      </c>
      <c r="M77" s="142" t="str">
        <f>IF(AND(基本情報入力シート!AG105="",基本情報入力シート!AG105=""), "", 基本情報入力シート!AG105)</f>
        <v/>
      </c>
      <c r="N77" s="136"/>
      <c r="O77" s="155" t="str">
        <f>IFERROR(VLOOKUP(K77,【参考】数式用!$A$2:$M$57,MATCH(N77,【参考】数式用!$G$3:$M$3,0)+6,0),"")</f>
        <v/>
      </c>
      <c r="P77" s="456" t="s">
        <v>180</v>
      </c>
      <c r="Q77" s="141"/>
      <c r="R77" s="457" t="s">
        <v>271</v>
      </c>
      <c r="S77" s="141"/>
      <c r="T77" s="457" t="s">
        <v>272</v>
      </c>
      <c r="U77" s="141"/>
      <c r="V77" s="457" t="s">
        <v>271</v>
      </c>
      <c r="W77" s="141"/>
      <c r="X77" s="457" t="s">
        <v>273</v>
      </c>
      <c r="Y77" s="457" t="s">
        <v>274</v>
      </c>
      <c r="Z77" s="457" t="str">
        <f t="shared" ref="Z77:Z111" si="38">IF(Q77&gt;=1,(U77*12+W77)-(Q77*12+S77)+1,"")</f>
        <v/>
      </c>
      <c r="AA77" s="458" t="s">
        <v>275</v>
      </c>
      <c r="AB77" s="459" t="str">
        <f t="shared" ref="AB77:AB111" si="39">IFERROR(ROUNDDOWN(ROUND(L77*O77,0)*M77,0)*Z77,"")</f>
        <v/>
      </c>
      <c r="AC77" s="460" t="str">
        <f>IFERROR(ROUNDDOWN(ROUNDDOWN(ROUND(L77*VLOOKUP(K77,【参考】数式用!$A$2:$M$57,MATCH("処遇改善加算Ⅳ",【参考】数式用!$G$3:$M$3,0)+6,0),0)*M77,0)*Z77*0.5,0), "")</f>
        <v/>
      </c>
      <c r="AD77" s="156"/>
      <c r="AE77" s="157"/>
      <c r="AF77" s="157"/>
      <c r="AG77" s="158"/>
      <c r="AH77" s="159"/>
      <c r="AI77" s="160"/>
      <c r="AJ77" s="161"/>
      <c r="AK77" s="542" t="str">
        <f t="shared" si="17"/>
        <v/>
      </c>
      <c r="AL77" s="543" t="str">
        <f t="shared" ref="AL77:AL111" si="40">IF(N77="","",IF(OR(AND(COUNTIF(AP77,"未入力")&gt;0,AD77=""),AND(COUNTBLANK(AP77)&gt;0,AE77=""),AND(COUNTIF(AN77:BD77,"AF列に色付け")&gt;0,AF77=""),AND(COUNTIF(AN77:BD77,"AG列に色付け")&gt;0,OR(AG77="",AG77=0)),AND(COUNTIF(AN77:BD77,"AH列に色付け")&gt;0,AH77=""),AND(COUNTIF(AN77:BD77,"AI列に色付け")&gt;0,AI77=""),AND(COUNTIF(AN77:BD77,"AJ列に色付け")&gt;0,AJ77="",NOT(OR(BE77="AJ列色消し",BF77="AJ列色消し")))),"！記入が必要な欄（オレンジ色のセル）に空欄があります。空欄を埋めてください。",""))</f>
        <v/>
      </c>
      <c r="AM77" s="544"/>
      <c r="AN77" s="545" t="str">
        <f>IFERROR(VLOOKUP(K77,【参考】数式用!$A$2:$N$57,14,FALSE),"")</f>
        <v/>
      </c>
      <c r="AO77" s="545" t="str">
        <f t="shared" si="3"/>
        <v/>
      </c>
      <c r="AP77" s="546" t="str">
        <f t="shared" si="18"/>
        <v/>
      </c>
      <c r="AQ77" s="546" t="str">
        <f t="shared" si="19"/>
        <v>キャリアパス要件Ⅰ・Ⅱ_</v>
      </c>
      <c r="AR77" s="547" t="str">
        <f t="shared" si="20"/>
        <v>入力済</v>
      </c>
      <c r="AS77" s="545" t="str">
        <f t="shared" si="4"/>
        <v/>
      </c>
      <c r="AT77" s="547" t="str">
        <f t="shared" si="5"/>
        <v>入力済</v>
      </c>
      <c r="AU77" s="547" t="str">
        <f t="shared" si="6"/>
        <v/>
      </c>
      <c r="AV77" s="547" t="str">
        <f t="shared" si="7"/>
        <v/>
      </c>
      <c r="AW77" s="545" t="str">
        <f t="shared" si="8"/>
        <v/>
      </c>
      <c r="AX77" s="545" t="str">
        <f t="shared" ref="AX77:AX111" si="41">IF(AND($AV77=1,$AW77="AH列に色付け",OR($AG77="",$AH77="")),"未入力",IF(AND($AV77=1,$AW77="",$AG77=""),"未入力","入力済"))</f>
        <v>入力済</v>
      </c>
      <c r="AY77" s="547" t="str">
        <f>IFERROR(VLOOKUP(K77,【参考】数式用!$AR$3:$AS$49, 2, FALSE), "")</f>
        <v/>
      </c>
      <c r="AZ77" s="545" t="str">
        <f t="shared" si="10"/>
        <v/>
      </c>
      <c r="BA77" s="548" t="str">
        <f t="shared" si="21"/>
        <v>入力済</v>
      </c>
      <c r="BB77" s="547" t="str">
        <f>IFERROR(VLOOKUP(K77,【参考】数式用!$AX$3:$AY$56, 2, FALSE), "")</f>
        <v/>
      </c>
      <c r="BC77" s="545" t="str">
        <f t="shared" ref="BC77:BC111" si="42">IF(OR(COUNTIF(AE77:AH77,"*令和８年度特例要件を*")&gt;0,ISNUMBER(SEARCH("処遇改善加算Ⅰロ",N77)),ISNUMBER(SEARCH("処遇改善加算Ⅱロ",N77)),AN77="加算対象外"),"AJ列に色付け","")</f>
        <v/>
      </c>
      <c r="BD77" s="548" t="str">
        <f t="shared" si="37"/>
        <v>入力済</v>
      </c>
      <c r="BE77" s="548" t="str">
        <f t="shared" ref="BE77:BE111" si="43">IF(AH77="*その他*","AJ列色消し",IF(OR(ISNUMBER(SEARCH("処遇改善加算Ⅰロ",N77)),ISNUMBER(SEARCH("処遇改善加算Ⅱロ",N77))),"",IF(AND(BC77="AJ列に色付け",AE77="○",AF77="○",AG77&gt;=1),"AJ列色消し","")))</f>
        <v/>
      </c>
      <c r="BF77" s="548" t="str">
        <f t="shared" ref="BF77:BF111" si="44">IF(AND(N77="処遇改善加算",AE77="○"),"AJ列色消し","")</f>
        <v/>
      </c>
      <c r="BG77" s="548" t="str">
        <f t="shared" ref="BG77:BG111" si="45">IF(OR(TRIM(BC77)="",BE77="AJ列色消し",BF77="AJ列色消し"),"","入力必要")</f>
        <v/>
      </c>
      <c r="BH77" s="548" t="str">
        <f t="shared" ref="BH77:BH111" si="46">IF(AND(BE77="",BG77="入力必要"),IF(AJ77="","未入力","入力済"),"")</f>
        <v/>
      </c>
      <c r="BI77" s="548" t="str">
        <f t="shared" si="16"/>
        <v/>
      </c>
      <c r="BM77" s="634" t="e">
        <f>VLOOKUP(K77,【参考】数式用!$A$2:$O$57,15,FALSE)</f>
        <v>#N/A</v>
      </c>
    </row>
    <row r="78" spans="1:65" ht="109.9" customHeight="1" thickBot="1">
      <c r="A78" s="454">
        <v>67</v>
      </c>
      <c r="B78" s="933" t="str">
        <f>IF(基本情報入力シート!B106="","",基本情報入力シート!B106)</f>
        <v/>
      </c>
      <c r="C78" s="934"/>
      <c r="D78" s="934"/>
      <c r="E78" s="934"/>
      <c r="F78" s="935"/>
      <c r="G78" s="455" t="str">
        <f>IF(基本情報入力シート!L106="", "", 基本情報入力シート!L106)</f>
        <v/>
      </c>
      <c r="H78" s="455" t="str">
        <f>IF(基本情報入力シート!Q106="", "", 基本情報入力シート!Q106)</f>
        <v/>
      </c>
      <c r="I78" s="455" t="str">
        <f>IF(基本情報入力シート!V106="", "", 基本情報入力シート!V106)</f>
        <v/>
      </c>
      <c r="J78" s="455" t="str">
        <f>IF(基本情報入力シート!W106="", "", 基本情報入力シート!W106)</f>
        <v/>
      </c>
      <c r="K78" s="455" t="str">
        <f>IF(基本情報入力シート!Z106="", "", 基本情報入力シート!Z106)</f>
        <v/>
      </c>
      <c r="L78" s="101" t="str">
        <f>IF(基本情報入力シート!AF106=0, "",基本情報入力シート!AF106)</f>
        <v/>
      </c>
      <c r="M78" s="142" t="str">
        <f>IF(AND(基本情報入力シート!AG106="",基本情報入力シート!AG106=""), "", 基本情報入力シート!AG106)</f>
        <v/>
      </c>
      <c r="N78" s="136"/>
      <c r="O78" s="155" t="str">
        <f>IFERROR(VLOOKUP(K78,【参考】数式用!$A$2:$M$57,MATCH(N78,【参考】数式用!$G$3:$M$3,0)+6,0),"")</f>
        <v/>
      </c>
      <c r="P78" s="456" t="s">
        <v>180</v>
      </c>
      <c r="Q78" s="141"/>
      <c r="R78" s="457" t="s">
        <v>271</v>
      </c>
      <c r="S78" s="141"/>
      <c r="T78" s="457" t="s">
        <v>272</v>
      </c>
      <c r="U78" s="141"/>
      <c r="V78" s="457" t="s">
        <v>271</v>
      </c>
      <c r="W78" s="141"/>
      <c r="X78" s="457" t="s">
        <v>273</v>
      </c>
      <c r="Y78" s="457" t="s">
        <v>274</v>
      </c>
      <c r="Z78" s="457" t="str">
        <f t="shared" si="38"/>
        <v/>
      </c>
      <c r="AA78" s="458" t="s">
        <v>275</v>
      </c>
      <c r="AB78" s="459" t="str">
        <f t="shared" si="39"/>
        <v/>
      </c>
      <c r="AC78" s="460" t="str">
        <f>IFERROR(ROUNDDOWN(ROUNDDOWN(ROUND(L78*VLOOKUP(K78,【参考】数式用!$A$2:$M$57,MATCH("処遇改善加算Ⅳ",【参考】数式用!$G$3:$M$3,0)+6,0),0)*M78,0)*Z78*0.5,0), "")</f>
        <v/>
      </c>
      <c r="AD78" s="156"/>
      <c r="AE78" s="157"/>
      <c r="AF78" s="157"/>
      <c r="AG78" s="158"/>
      <c r="AH78" s="159"/>
      <c r="AI78" s="160"/>
      <c r="AJ78" s="161"/>
      <c r="AK78" s="542" t="str">
        <f t="shared" ref="AK78:AK111" si="47">IF(AND(N78&lt;&gt;"", OR(U78&lt;&gt;9,W78&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IF(AND(AN78="加算対象外",N78&lt;&gt;"",AE78="―",AJ78="―"),"このサービスについては、キャリアパス要件Ⅰ・Ⅱか令和８年度特例要件のどちらかの要件を満たしている必要があります",""))</f>
        <v/>
      </c>
      <c r="AL78" s="543" t="str">
        <f t="shared" si="40"/>
        <v/>
      </c>
      <c r="AM78" s="544"/>
      <c r="AN78" s="545" t="str">
        <f>IFERROR(VLOOKUP(K78,【参考】数式用!$A$2:$N$57,14,FALSE),"")</f>
        <v/>
      </c>
      <c r="AO78" s="545" t="str">
        <f t="shared" ref="AO78:AO111" si="48">IF(AND(K78&lt;&gt;""),"N列に色付け","")</f>
        <v/>
      </c>
      <c r="AP78" s="546" t="str">
        <f t="shared" ref="AP78:AP111" si="49">IF(AND(AC78&lt;&gt;0,AC78&lt;&gt;"",AN78="加算対象"),IF(AD78="○","入力済","未入力"),"")</f>
        <v/>
      </c>
      <c r="AQ78" s="546" t="str">
        <f t="shared" ref="AQ78:AQ111" si="50">"キャリアパス要件Ⅰ・Ⅱ_"&amp;AN78</f>
        <v>キャリアパス要件Ⅰ・Ⅱ_</v>
      </c>
      <c r="AR78" s="547" t="str">
        <f t="shared" ref="AR78:AR111" si="51">IF(AND(N78&lt;&gt;"", AE78=""), "未入力", "入力済")</f>
        <v>入力済</v>
      </c>
      <c r="AS78" s="545" t="str">
        <f t="shared" ref="AS78:AS111" si="52">IF(AND(N78&lt;&gt;"", N78&lt;&gt;"処遇改善加算Ⅳ",AN78="加算対象"),"AF列に色付け","")</f>
        <v/>
      </c>
      <c r="AT78" s="547" t="str">
        <f t="shared" ref="AT78:AT111" si="53">IF(AND(N78&lt;&gt;"", N78&lt;&gt;"処遇改善加算Ⅳ",N78&lt;&gt;"処遇改善加算", AF78=""), "未入力", "入力済")</f>
        <v>入力済</v>
      </c>
      <c r="AU78" s="547" t="str">
        <f t="shared" ref="AU78:AU111" si="54">IF(OR(ISNUMBER(SEARCH("処遇改善加算Ⅰ",N78)),ISNUMBER(SEARCH("処遇改善加算Ⅱ",N78))),"対象","")</f>
        <v/>
      </c>
      <c r="AV78" s="547" t="str">
        <f t="shared" ref="AV78:AV111" si="55">IF(AND(AN78="加算対象",N78&lt;&gt;"処遇改善加算Ⅲ",N78&lt;&gt;"処遇改善加算Ⅳ", N78&lt;&gt;"", AU78&lt;&gt;"対象外"), 1,"")</f>
        <v/>
      </c>
      <c r="AW78" s="545" t="str">
        <f t="shared" ref="AW78:AW111" si="56">IF(AND(AV78=1, OR(AG78=0,AG78=""),AN78="加算対象"),"AH列に色付け","")</f>
        <v/>
      </c>
      <c r="AX78" s="545" t="str">
        <f t="shared" si="41"/>
        <v>入力済</v>
      </c>
      <c r="AY78" s="547" t="str">
        <f>IFERROR(VLOOKUP(K78,【参考】数式用!$AR$3:$AS$49, 2, FALSE), "")</f>
        <v/>
      </c>
      <c r="AZ78" s="545" t="str">
        <f t="shared" ref="AZ78:AZ111" si="57">IF(AND(AN78="加算対象",OR(N78="処遇改善加算Ⅰイ",N78="処遇改善加算Ⅰロ")),"AI列に色付け","")</f>
        <v/>
      </c>
      <c r="BA78" s="548" t="str">
        <f t="shared" ref="BA78:BA111" si="58">IF(AND(OR(N78="処遇改善加算Ⅰイ",N78="処遇改善加算Ⅰロ"), AI78=""), "未入力","入力済")</f>
        <v>入力済</v>
      </c>
      <c r="BB78" s="547" t="str">
        <f>IFERROR(VLOOKUP(K78,【参考】数式用!$AX$3:$AY$56, 2, FALSE), "")</f>
        <v/>
      </c>
      <c r="BC78" s="545" t="str">
        <f t="shared" si="42"/>
        <v/>
      </c>
      <c r="BD78" s="548" t="str">
        <f t="shared" si="37"/>
        <v>入力済</v>
      </c>
      <c r="BE78" s="548" t="str">
        <f t="shared" si="43"/>
        <v/>
      </c>
      <c r="BF78" s="548" t="str">
        <f t="shared" si="44"/>
        <v/>
      </c>
      <c r="BG78" s="548" t="str">
        <f t="shared" si="45"/>
        <v/>
      </c>
      <c r="BH78" s="548" t="str">
        <f t="shared" si="46"/>
        <v/>
      </c>
      <c r="BI78" s="548" t="str">
        <f t="shared" ref="BI78:BI111" si="59">G78</f>
        <v/>
      </c>
      <c r="BM78" s="634" t="e">
        <f>VLOOKUP(K78,【参考】数式用!$A$2:$O$57,15,FALSE)</f>
        <v>#N/A</v>
      </c>
    </row>
    <row r="79" spans="1:65" ht="109.9" customHeight="1" thickBot="1">
      <c r="A79" s="454">
        <v>68</v>
      </c>
      <c r="B79" s="933" t="str">
        <f>IF(基本情報入力シート!B107="","",基本情報入力シート!B107)</f>
        <v/>
      </c>
      <c r="C79" s="934"/>
      <c r="D79" s="934"/>
      <c r="E79" s="934"/>
      <c r="F79" s="935"/>
      <c r="G79" s="455" t="str">
        <f>IF(基本情報入力シート!L107="", "", 基本情報入力シート!L107)</f>
        <v/>
      </c>
      <c r="H79" s="455" t="str">
        <f>IF(基本情報入力シート!Q107="", "", 基本情報入力シート!Q107)</f>
        <v/>
      </c>
      <c r="I79" s="455" t="str">
        <f>IF(基本情報入力シート!V107="", "", 基本情報入力シート!V107)</f>
        <v/>
      </c>
      <c r="J79" s="455" t="str">
        <f>IF(基本情報入力シート!W107="", "", 基本情報入力シート!W107)</f>
        <v/>
      </c>
      <c r="K79" s="455" t="str">
        <f>IF(基本情報入力シート!Z107="", "", 基本情報入力シート!Z107)</f>
        <v/>
      </c>
      <c r="L79" s="101" t="str">
        <f>IF(基本情報入力シート!AF107=0, "",基本情報入力シート!AF107)</f>
        <v/>
      </c>
      <c r="M79" s="142" t="str">
        <f>IF(AND(基本情報入力シート!AG107="",基本情報入力シート!AG107=""), "", 基本情報入力シート!AG107)</f>
        <v/>
      </c>
      <c r="N79" s="136"/>
      <c r="O79" s="155" t="str">
        <f>IFERROR(VLOOKUP(K79,【参考】数式用!$A$2:$M$57,MATCH(N79,【参考】数式用!$G$3:$M$3,0)+6,0),"")</f>
        <v/>
      </c>
      <c r="P79" s="456" t="s">
        <v>180</v>
      </c>
      <c r="Q79" s="141"/>
      <c r="R79" s="457" t="s">
        <v>271</v>
      </c>
      <c r="S79" s="141"/>
      <c r="T79" s="457" t="s">
        <v>272</v>
      </c>
      <c r="U79" s="141"/>
      <c r="V79" s="457" t="s">
        <v>271</v>
      </c>
      <c r="W79" s="141"/>
      <c r="X79" s="457" t="s">
        <v>182</v>
      </c>
      <c r="Y79" s="457" t="s">
        <v>274</v>
      </c>
      <c r="Z79" s="457" t="str">
        <f t="shared" si="38"/>
        <v/>
      </c>
      <c r="AA79" s="458" t="s">
        <v>275</v>
      </c>
      <c r="AB79" s="459" t="str">
        <f t="shared" si="39"/>
        <v/>
      </c>
      <c r="AC79" s="460" t="str">
        <f>IFERROR(ROUNDDOWN(ROUNDDOWN(ROUND(L79*VLOOKUP(K79,【参考】数式用!$A$2:$M$57,MATCH("処遇改善加算Ⅳ",【参考】数式用!$G$3:$M$3,0)+6,0),0)*M79,0)*Z79*0.5,0), "")</f>
        <v/>
      </c>
      <c r="AD79" s="156"/>
      <c r="AE79" s="157"/>
      <c r="AF79" s="157"/>
      <c r="AG79" s="158"/>
      <c r="AH79" s="159"/>
      <c r="AI79" s="160"/>
      <c r="AJ79" s="161"/>
      <c r="AK79" s="542" t="str">
        <f t="shared" si="47"/>
        <v/>
      </c>
      <c r="AL79" s="543" t="str">
        <f t="shared" si="40"/>
        <v/>
      </c>
      <c r="AM79" s="544"/>
      <c r="AN79" s="545" t="str">
        <f>IFERROR(VLOOKUP(K79,【参考】数式用!$A$2:$N$57,14,FALSE),"")</f>
        <v/>
      </c>
      <c r="AO79" s="545" t="str">
        <f t="shared" si="48"/>
        <v/>
      </c>
      <c r="AP79" s="546" t="str">
        <f t="shared" si="49"/>
        <v/>
      </c>
      <c r="AQ79" s="546" t="str">
        <f t="shared" si="50"/>
        <v>キャリアパス要件Ⅰ・Ⅱ_</v>
      </c>
      <c r="AR79" s="547" t="str">
        <f t="shared" si="51"/>
        <v>入力済</v>
      </c>
      <c r="AS79" s="545" t="str">
        <f t="shared" si="52"/>
        <v/>
      </c>
      <c r="AT79" s="547" t="str">
        <f t="shared" si="53"/>
        <v>入力済</v>
      </c>
      <c r="AU79" s="547" t="str">
        <f t="shared" si="54"/>
        <v/>
      </c>
      <c r="AV79" s="547" t="str">
        <f t="shared" si="55"/>
        <v/>
      </c>
      <c r="AW79" s="545" t="str">
        <f t="shared" si="56"/>
        <v/>
      </c>
      <c r="AX79" s="545" t="str">
        <f t="shared" si="41"/>
        <v>入力済</v>
      </c>
      <c r="AY79" s="547" t="str">
        <f>IFERROR(VLOOKUP(K79,【参考】数式用!$AR$3:$AS$49, 2, FALSE), "")</f>
        <v/>
      </c>
      <c r="AZ79" s="545" t="str">
        <f t="shared" si="57"/>
        <v/>
      </c>
      <c r="BA79" s="548" t="str">
        <f t="shared" si="58"/>
        <v>入力済</v>
      </c>
      <c r="BB79" s="547" t="str">
        <f>IFERROR(VLOOKUP(K79,【参考】数式用!$AX$3:$AY$56, 2, FALSE), "")</f>
        <v/>
      </c>
      <c r="BC79" s="545" t="str">
        <f t="shared" si="42"/>
        <v/>
      </c>
      <c r="BD79" s="548" t="str">
        <f t="shared" si="37"/>
        <v>入力済</v>
      </c>
      <c r="BE79" s="548" t="str">
        <f t="shared" si="43"/>
        <v/>
      </c>
      <c r="BF79" s="548" t="str">
        <f t="shared" si="44"/>
        <v/>
      </c>
      <c r="BG79" s="548" t="str">
        <f t="shared" si="45"/>
        <v/>
      </c>
      <c r="BH79" s="548" t="str">
        <f t="shared" si="46"/>
        <v/>
      </c>
      <c r="BI79" s="548" t="str">
        <f t="shared" si="59"/>
        <v/>
      </c>
      <c r="BM79" s="634" t="e">
        <f>VLOOKUP(K79,【参考】数式用!$A$2:$O$57,15,FALSE)</f>
        <v>#N/A</v>
      </c>
    </row>
    <row r="80" spans="1:65" ht="109.9" customHeight="1" thickBot="1">
      <c r="A80" s="454">
        <v>69</v>
      </c>
      <c r="B80" s="933" t="str">
        <f>IF(基本情報入力シート!B108="","",基本情報入力シート!B108)</f>
        <v/>
      </c>
      <c r="C80" s="934"/>
      <c r="D80" s="934"/>
      <c r="E80" s="934"/>
      <c r="F80" s="935"/>
      <c r="G80" s="455" t="str">
        <f>IF(基本情報入力シート!L108="", "", 基本情報入力シート!L108)</f>
        <v/>
      </c>
      <c r="H80" s="455" t="str">
        <f>IF(基本情報入力シート!Q108="", "", 基本情報入力シート!Q108)</f>
        <v/>
      </c>
      <c r="I80" s="455" t="str">
        <f>IF(基本情報入力シート!V108="", "", 基本情報入力シート!V108)</f>
        <v/>
      </c>
      <c r="J80" s="455" t="str">
        <f>IF(基本情報入力シート!W108="", "", 基本情報入力シート!W108)</f>
        <v/>
      </c>
      <c r="K80" s="455" t="str">
        <f>IF(基本情報入力シート!Z108="", "", 基本情報入力シート!Z108)</f>
        <v/>
      </c>
      <c r="L80" s="101" t="str">
        <f>IF(基本情報入力シート!AF108=0, "",基本情報入力シート!AF108)</f>
        <v/>
      </c>
      <c r="M80" s="142" t="str">
        <f>IF(AND(基本情報入力シート!AG108="",基本情報入力シート!AG108=""), "", 基本情報入力シート!AG108)</f>
        <v/>
      </c>
      <c r="N80" s="136"/>
      <c r="O80" s="155" t="str">
        <f>IFERROR(VLOOKUP(K80,【参考】数式用!$A$2:$M$57,MATCH(N80,【参考】数式用!$G$3:$M$3,0)+6,0),"")</f>
        <v/>
      </c>
      <c r="P80" s="456" t="s">
        <v>180</v>
      </c>
      <c r="Q80" s="141"/>
      <c r="R80" s="457" t="s">
        <v>271</v>
      </c>
      <c r="S80" s="141"/>
      <c r="T80" s="457" t="s">
        <v>272</v>
      </c>
      <c r="U80" s="141"/>
      <c r="V80" s="457" t="s">
        <v>271</v>
      </c>
      <c r="W80" s="141"/>
      <c r="X80" s="457" t="s">
        <v>182</v>
      </c>
      <c r="Y80" s="457" t="s">
        <v>274</v>
      </c>
      <c r="Z80" s="457" t="str">
        <f t="shared" si="38"/>
        <v/>
      </c>
      <c r="AA80" s="458" t="s">
        <v>275</v>
      </c>
      <c r="AB80" s="459" t="str">
        <f t="shared" si="39"/>
        <v/>
      </c>
      <c r="AC80" s="460" t="str">
        <f>IFERROR(ROUNDDOWN(ROUNDDOWN(ROUND(L80*VLOOKUP(K80,【参考】数式用!$A$2:$M$57,MATCH("処遇改善加算Ⅳ",【参考】数式用!$G$3:$M$3,0)+6,0),0)*M80,0)*Z80*0.5,0), "")</f>
        <v/>
      </c>
      <c r="AD80" s="156"/>
      <c r="AE80" s="157"/>
      <c r="AF80" s="157"/>
      <c r="AG80" s="158"/>
      <c r="AH80" s="159"/>
      <c r="AI80" s="160"/>
      <c r="AJ80" s="161"/>
      <c r="AK80" s="542" t="str">
        <f t="shared" si="47"/>
        <v/>
      </c>
      <c r="AL80" s="543" t="str">
        <f t="shared" si="40"/>
        <v/>
      </c>
      <c r="AM80" s="544"/>
      <c r="AN80" s="545" t="str">
        <f>IFERROR(VLOOKUP(K80,【参考】数式用!$A$2:$N$57,14,FALSE),"")</f>
        <v/>
      </c>
      <c r="AO80" s="545" t="str">
        <f t="shared" si="48"/>
        <v/>
      </c>
      <c r="AP80" s="546" t="str">
        <f t="shared" si="49"/>
        <v/>
      </c>
      <c r="AQ80" s="546" t="str">
        <f t="shared" si="50"/>
        <v>キャリアパス要件Ⅰ・Ⅱ_</v>
      </c>
      <c r="AR80" s="547" t="str">
        <f t="shared" si="51"/>
        <v>入力済</v>
      </c>
      <c r="AS80" s="545" t="str">
        <f t="shared" si="52"/>
        <v/>
      </c>
      <c r="AT80" s="547" t="str">
        <f t="shared" si="53"/>
        <v>入力済</v>
      </c>
      <c r="AU80" s="547" t="str">
        <f t="shared" si="54"/>
        <v/>
      </c>
      <c r="AV80" s="547" t="str">
        <f t="shared" si="55"/>
        <v/>
      </c>
      <c r="AW80" s="545" t="str">
        <f t="shared" si="56"/>
        <v/>
      </c>
      <c r="AX80" s="545" t="str">
        <f t="shared" si="41"/>
        <v>入力済</v>
      </c>
      <c r="AY80" s="547" t="str">
        <f>IFERROR(VLOOKUP(K80,【参考】数式用!$AR$3:$AS$49, 2, FALSE), "")</f>
        <v/>
      </c>
      <c r="AZ80" s="545" t="str">
        <f t="shared" si="57"/>
        <v/>
      </c>
      <c r="BA80" s="548" t="str">
        <f t="shared" si="58"/>
        <v>入力済</v>
      </c>
      <c r="BB80" s="547" t="str">
        <f>IFERROR(VLOOKUP(K80,【参考】数式用!$AX$3:$AY$56, 2, FALSE), "")</f>
        <v/>
      </c>
      <c r="BC80" s="545" t="str">
        <f t="shared" si="42"/>
        <v/>
      </c>
      <c r="BD80" s="548" t="str">
        <f t="shared" si="37"/>
        <v>入力済</v>
      </c>
      <c r="BE80" s="548" t="str">
        <f t="shared" si="43"/>
        <v/>
      </c>
      <c r="BF80" s="548" t="str">
        <f t="shared" si="44"/>
        <v/>
      </c>
      <c r="BG80" s="548" t="str">
        <f t="shared" si="45"/>
        <v/>
      </c>
      <c r="BH80" s="548" t="str">
        <f t="shared" si="46"/>
        <v/>
      </c>
      <c r="BI80" s="548" t="str">
        <f t="shared" si="59"/>
        <v/>
      </c>
      <c r="BM80" s="634" t="e">
        <f>VLOOKUP(K80,【参考】数式用!$A$2:$O$57,15,FALSE)</f>
        <v>#N/A</v>
      </c>
    </row>
    <row r="81" spans="1:65" ht="109.9" customHeight="1" thickBot="1">
      <c r="A81" s="454">
        <v>70</v>
      </c>
      <c r="B81" s="933" t="str">
        <f>IF(基本情報入力シート!B109="","",基本情報入力シート!B109)</f>
        <v/>
      </c>
      <c r="C81" s="934"/>
      <c r="D81" s="934"/>
      <c r="E81" s="934"/>
      <c r="F81" s="935"/>
      <c r="G81" s="455" t="str">
        <f>IF(基本情報入力シート!L109="", "", 基本情報入力シート!L109)</f>
        <v/>
      </c>
      <c r="H81" s="455" t="str">
        <f>IF(基本情報入力シート!Q109="", "", 基本情報入力シート!Q109)</f>
        <v/>
      </c>
      <c r="I81" s="455" t="str">
        <f>IF(基本情報入力シート!V109="", "", 基本情報入力シート!V109)</f>
        <v/>
      </c>
      <c r="J81" s="455" t="str">
        <f>IF(基本情報入力シート!W109="", "", 基本情報入力シート!W109)</f>
        <v/>
      </c>
      <c r="K81" s="455" t="str">
        <f>IF(基本情報入力シート!Z109="", "", 基本情報入力シート!Z109)</f>
        <v/>
      </c>
      <c r="L81" s="101" t="str">
        <f>IF(基本情報入力シート!AF109=0, "",基本情報入力シート!AF109)</f>
        <v/>
      </c>
      <c r="M81" s="142" t="str">
        <f>IF(AND(基本情報入力シート!AG109="",基本情報入力シート!AG109=""), "", 基本情報入力シート!AG109)</f>
        <v/>
      </c>
      <c r="N81" s="136"/>
      <c r="O81" s="155" t="str">
        <f>IFERROR(VLOOKUP(K81,【参考】数式用!$A$2:$M$57,MATCH(N81,【参考】数式用!$G$3:$M$3,0)+6,0),"")</f>
        <v/>
      </c>
      <c r="P81" s="456" t="s">
        <v>180</v>
      </c>
      <c r="Q81" s="141"/>
      <c r="R81" s="457" t="s">
        <v>271</v>
      </c>
      <c r="S81" s="141"/>
      <c r="T81" s="457" t="s">
        <v>272</v>
      </c>
      <c r="U81" s="141"/>
      <c r="V81" s="457" t="s">
        <v>271</v>
      </c>
      <c r="W81" s="141"/>
      <c r="X81" s="457" t="s">
        <v>273</v>
      </c>
      <c r="Y81" s="457" t="s">
        <v>274</v>
      </c>
      <c r="Z81" s="457" t="str">
        <f t="shared" si="38"/>
        <v/>
      </c>
      <c r="AA81" s="458" t="s">
        <v>275</v>
      </c>
      <c r="AB81" s="459" t="str">
        <f t="shared" si="39"/>
        <v/>
      </c>
      <c r="AC81" s="460" t="str">
        <f>IFERROR(ROUNDDOWN(ROUNDDOWN(ROUND(L81*VLOOKUP(K81,【参考】数式用!$A$2:$M$57,MATCH("処遇改善加算Ⅳ",【参考】数式用!$G$3:$M$3,0)+6,0),0)*M81,0)*Z81*0.5,0), "")</f>
        <v/>
      </c>
      <c r="AD81" s="156"/>
      <c r="AE81" s="157"/>
      <c r="AF81" s="157"/>
      <c r="AG81" s="158"/>
      <c r="AH81" s="159"/>
      <c r="AI81" s="160"/>
      <c r="AJ81" s="161"/>
      <c r="AK81" s="542" t="str">
        <f t="shared" si="47"/>
        <v/>
      </c>
      <c r="AL81" s="543" t="str">
        <f t="shared" si="40"/>
        <v/>
      </c>
      <c r="AM81" s="544"/>
      <c r="AN81" s="545" t="str">
        <f>IFERROR(VLOOKUP(K81,【参考】数式用!$A$2:$N$57,14,FALSE),"")</f>
        <v/>
      </c>
      <c r="AO81" s="545" t="str">
        <f t="shared" si="48"/>
        <v/>
      </c>
      <c r="AP81" s="546" t="str">
        <f t="shared" si="49"/>
        <v/>
      </c>
      <c r="AQ81" s="546" t="str">
        <f t="shared" si="50"/>
        <v>キャリアパス要件Ⅰ・Ⅱ_</v>
      </c>
      <c r="AR81" s="547" t="str">
        <f t="shared" si="51"/>
        <v>入力済</v>
      </c>
      <c r="AS81" s="545" t="str">
        <f t="shared" si="52"/>
        <v/>
      </c>
      <c r="AT81" s="547" t="str">
        <f t="shared" si="53"/>
        <v>入力済</v>
      </c>
      <c r="AU81" s="547" t="str">
        <f t="shared" si="54"/>
        <v/>
      </c>
      <c r="AV81" s="547" t="str">
        <f t="shared" si="55"/>
        <v/>
      </c>
      <c r="AW81" s="545" t="str">
        <f t="shared" si="56"/>
        <v/>
      </c>
      <c r="AX81" s="545" t="str">
        <f t="shared" si="41"/>
        <v>入力済</v>
      </c>
      <c r="AY81" s="547" t="str">
        <f>IFERROR(VLOOKUP(K81,【参考】数式用!$AR$3:$AS$49, 2, FALSE), "")</f>
        <v/>
      </c>
      <c r="AZ81" s="545" t="str">
        <f t="shared" si="57"/>
        <v/>
      </c>
      <c r="BA81" s="548" t="str">
        <f t="shared" si="58"/>
        <v>入力済</v>
      </c>
      <c r="BB81" s="547" t="str">
        <f>IFERROR(VLOOKUP(K81,【参考】数式用!$AX$3:$AY$56, 2, FALSE), "")</f>
        <v/>
      </c>
      <c r="BC81" s="545" t="str">
        <f t="shared" si="42"/>
        <v/>
      </c>
      <c r="BD81" s="548" t="str">
        <f t="shared" si="37"/>
        <v>入力済</v>
      </c>
      <c r="BE81" s="548" t="str">
        <f t="shared" si="43"/>
        <v/>
      </c>
      <c r="BF81" s="548" t="str">
        <f t="shared" si="44"/>
        <v/>
      </c>
      <c r="BG81" s="548" t="str">
        <f t="shared" si="45"/>
        <v/>
      </c>
      <c r="BH81" s="548" t="str">
        <f t="shared" si="46"/>
        <v/>
      </c>
      <c r="BI81" s="548" t="str">
        <f t="shared" si="59"/>
        <v/>
      </c>
      <c r="BM81" s="634" t="e">
        <f>VLOOKUP(K81,【参考】数式用!$A$2:$O$57,15,FALSE)</f>
        <v>#N/A</v>
      </c>
    </row>
    <row r="82" spans="1:65" ht="109.9" customHeight="1" thickBot="1">
      <c r="A82" s="454">
        <v>71</v>
      </c>
      <c r="B82" s="933" t="str">
        <f>IF(基本情報入力シート!B110="","",基本情報入力シート!B110)</f>
        <v/>
      </c>
      <c r="C82" s="934"/>
      <c r="D82" s="934"/>
      <c r="E82" s="934"/>
      <c r="F82" s="935"/>
      <c r="G82" s="455" t="str">
        <f>IF(基本情報入力シート!L110="", "", 基本情報入力シート!L110)</f>
        <v/>
      </c>
      <c r="H82" s="455" t="str">
        <f>IF(基本情報入力シート!Q110="", "", 基本情報入力シート!Q110)</f>
        <v/>
      </c>
      <c r="I82" s="455" t="str">
        <f>IF(基本情報入力シート!V110="", "", 基本情報入力シート!V110)</f>
        <v/>
      </c>
      <c r="J82" s="455" t="str">
        <f>IF(基本情報入力シート!W110="", "", 基本情報入力シート!W110)</f>
        <v/>
      </c>
      <c r="K82" s="455" t="str">
        <f>IF(基本情報入力シート!Z110="", "", 基本情報入力シート!Z110)</f>
        <v/>
      </c>
      <c r="L82" s="101" t="str">
        <f>IF(基本情報入力シート!AF110=0, "",基本情報入力シート!AF110)</f>
        <v/>
      </c>
      <c r="M82" s="142" t="str">
        <f>IF(AND(基本情報入力シート!AG110="",基本情報入力シート!AG110=""), "", 基本情報入力シート!AG110)</f>
        <v/>
      </c>
      <c r="N82" s="136"/>
      <c r="O82" s="155" t="str">
        <f>IFERROR(VLOOKUP(K82,【参考】数式用!$A$2:$M$57,MATCH(N82,【参考】数式用!$G$3:$M$3,0)+6,0),"")</f>
        <v/>
      </c>
      <c r="P82" s="456" t="s">
        <v>180</v>
      </c>
      <c r="Q82" s="141"/>
      <c r="R82" s="457" t="s">
        <v>271</v>
      </c>
      <c r="S82" s="141"/>
      <c r="T82" s="457" t="s">
        <v>272</v>
      </c>
      <c r="U82" s="141"/>
      <c r="V82" s="457" t="s">
        <v>271</v>
      </c>
      <c r="W82" s="141"/>
      <c r="X82" s="457" t="s">
        <v>273</v>
      </c>
      <c r="Y82" s="457" t="s">
        <v>274</v>
      </c>
      <c r="Z82" s="457" t="str">
        <f t="shared" si="38"/>
        <v/>
      </c>
      <c r="AA82" s="458" t="s">
        <v>275</v>
      </c>
      <c r="AB82" s="459" t="str">
        <f t="shared" si="39"/>
        <v/>
      </c>
      <c r="AC82" s="460" t="str">
        <f>IFERROR(ROUNDDOWN(ROUNDDOWN(ROUND(L82*VLOOKUP(K82,【参考】数式用!$A$2:$M$57,MATCH("処遇改善加算Ⅳ",【参考】数式用!$G$3:$M$3,0)+6,0),0)*M82,0)*Z82*0.5,0), "")</f>
        <v/>
      </c>
      <c r="AD82" s="156"/>
      <c r="AE82" s="157"/>
      <c r="AF82" s="157"/>
      <c r="AG82" s="158"/>
      <c r="AH82" s="159"/>
      <c r="AI82" s="160"/>
      <c r="AJ82" s="161"/>
      <c r="AK82" s="542" t="str">
        <f t="shared" si="47"/>
        <v/>
      </c>
      <c r="AL82" s="543" t="str">
        <f t="shared" si="40"/>
        <v/>
      </c>
      <c r="AM82" s="544"/>
      <c r="AN82" s="545" t="str">
        <f>IFERROR(VLOOKUP(K82,【参考】数式用!$A$2:$N$57,14,FALSE),"")</f>
        <v/>
      </c>
      <c r="AO82" s="545" t="str">
        <f t="shared" si="48"/>
        <v/>
      </c>
      <c r="AP82" s="546" t="str">
        <f t="shared" si="49"/>
        <v/>
      </c>
      <c r="AQ82" s="546" t="str">
        <f t="shared" si="50"/>
        <v>キャリアパス要件Ⅰ・Ⅱ_</v>
      </c>
      <c r="AR82" s="547" t="str">
        <f t="shared" si="51"/>
        <v>入力済</v>
      </c>
      <c r="AS82" s="545" t="str">
        <f t="shared" si="52"/>
        <v/>
      </c>
      <c r="AT82" s="547" t="str">
        <f t="shared" si="53"/>
        <v>入力済</v>
      </c>
      <c r="AU82" s="547" t="str">
        <f t="shared" si="54"/>
        <v/>
      </c>
      <c r="AV82" s="547" t="str">
        <f t="shared" si="55"/>
        <v/>
      </c>
      <c r="AW82" s="545" t="str">
        <f t="shared" si="56"/>
        <v/>
      </c>
      <c r="AX82" s="545" t="str">
        <f t="shared" si="41"/>
        <v>入力済</v>
      </c>
      <c r="AY82" s="547" t="str">
        <f>IFERROR(VLOOKUP(K82,【参考】数式用!$AR$3:$AS$49, 2, FALSE), "")</f>
        <v/>
      </c>
      <c r="AZ82" s="545" t="str">
        <f t="shared" si="57"/>
        <v/>
      </c>
      <c r="BA82" s="548" t="str">
        <f t="shared" si="58"/>
        <v>入力済</v>
      </c>
      <c r="BB82" s="547" t="str">
        <f>IFERROR(VLOOKUP(K82,【参考】数式用!$AX$3:$AY$56, 2, FALSE), "")</f>
        <v/>
      </c>
      <c r="BC82" s="545" t="str">
        <f t="shared" si="42"/>
        <v/>
      </c>
      <c r="BD82" s="548" t="str">
        <f t="shared" si="37"/>
        <v>入力済</v>
      </c>
      <c r="BE82" s="548" t="str">
        <f t="shared" si="43"/>
        <v/>
      </c>
      <c r="BF82" s="548" t="str">
        <f t="shared" si="44"/>
        <v/>
      </c>
      <c r="BG82" s="548" t="str">
        <f t="shared" si="45"/>
        <v/>
      </c>
      <c r="BH82" s="548" t="str">
        <f t="shared" si="46"/>
        <v/>
      </c>
      <c r="BI82" s="548" t="str">
        <f t="shared" si="59"/>
        <v/>
      </c>
      <c r="BM82" s="634" t="e">
        <f>VLOOKUP(K82,【参考】数式用!$A$2:$O$57,15,FALSE)</f>
        <v>#N/A</v>
      </c>
    </row>
    <row r="83" spans="1:65" ht="109.9" customHeight="1" thickBot="1">
      <c r="A83" s="454">
        <v>72</v>
      </c>
      <c r="B83" s="933" t="str">
        <f>IF(基本情報入力シート!B111="","",基本情報入力シート!B111)</f>
        <v/>
      </c>
      <c r="C83" s="934"/>
      <c r="D83" s="934"/>
      <c r="E83" s="934"/>
      <c r="F83" s="935"/>
      <c r="G83" s="455" t="str">
        <f>IF(基本情報入力シート!L111="", "", 基本情報入力シート!L111)</f>
        <v/>
      </c>
      <c r="H83" s="455" t="str">
        <f>IF(基本情報入力シート!Q111="", "", 基本情報入力シート!Q111)</f>
        <v/>
      </c>
      <c r="I83" s="455" t="str">
        <f>IF(基本情報入力シート!V111="", "", 基本情報入力シート!V111)</f>
        <v/>
      </c>
      <c r="J83" s="455" t="str">
        <f>IF(基本情報入力シート!W111="", "", 基本情報入力シート!W111)</f>
        <v/>
      </c>
      <c r="K83" s="455" t="str">
        <f>IF(基本情報入力シート!Z111="", "", 基本情報入力シート!Z111)</f>
        <v/>
      </c>
      <c r="L83" s="101" t="str">
        <f>IF(基本情報入力シート!AF111=0, "",基本情報入力シート!AF111)</f>
        <v/>
      </c>
      <c r="M83" s="142" t="str">
        <f>IF(AND(基本情報入力シート!AG111="",基本情報入力シート!AG111=""), "", 基本情報入力シート!AG111)</f>
        <v/>
      </c>
      <c r="N83" s="136"/>
      <c r="O83" s="155" t="str">
        <f>IFERROR(VLOOKUP(K83,【参考】数式用!$A$2:$M$57,MATCH(N83,【参考】数式用!$G$3:$M$3,0)+6,0),"")</f>
        <v/>
      </c>
      <c r="P83" s="456" t="s">
        <v>180</v>
      </c>
      <c r="Q83" s="141"/>
      <c r="R83" s="457" t="s">
        <v>271</v>
      </c>
      <c r="S83" s="141"/>
      <c r="T83" s="457" t="s">
        <v>272</v>
      </c>
      <c r="U83" s="141"/>
      <c r="V83" s="457" t="s">
        <v>271</v>
      </c>
      <c r="W83" s="141"/>
      <c r="X83" s="457" t="s">
        <v>273</v>
      </c>
      <c r="Y83" s="457" t="s">
        <v>274</v>
      </c>
      <c r="Z83" s="457" t="str">
        <f t="shared" si="38"/>
        <v/>
      </c>
      <c r="AA83" s="458" t="s">
        <v>275</v>
      </c>
      <c r="AB83" s="459" t="str">
        <f t="shared" si="39"/>
        <v/>
      </c>
      <c r="AC83" s="460" t="str">
        <f>IFERROR(ROUNDDOWN(ROUNDDOWN(ROUND(L83*VLOOKUP(K83,【参考】数式用!$A$2:$M$57,MATCH("処遇改善加算Ⅳ",【参考】数式用!$G$3:$M$3,0)+6,0),0)*M83,0)*Z83*0.5,0), "")</f>
        <v/>
      </c>
      <c r="AD83" s="156"/>
      <c r="AE83" s="157"/>
      <c r="AF83" s="157"/>
      <c r="AG83" s="158"/>
      <c r="AH83" s="159"/>
      <c r="AI83" s="160"/>
      <c r="AJ83" s="161"/>
      <c r="AK83" s="542" t="str">
        <f t="shared" si="47"/>
        <v/>
      </c>
      <c r="AL83" s="543" t="str">
        <f t="shared" si="40"/>
        <v/>
      </c>
      <c r="AM83" s="544"/>
      <c r="AN83" s="545" t="str">
        <f>IFERROR(VLOOKUP(K83,【参考】数式用!$A$2:$N$57,14,FALSE),"")</f>
        <v/>
      </c>
      <c r="AO83" s="545" t="str">
        <f t="shared" si="48"/>
        <v/>
      </c>
      <c r="AP83" s="546" t="str">
        <f t="shared" si="49"/>
        <v/>
      </c>
      <c r="AQ83" s="546" t="str">
        <f t="shared" si="50"/>
        <v>キャリアパス要件Ⅰ・Ⅱ_</v>
      </c>
      <c r="AR83" s="547" t="str">
        <f t="shared" si="51"/>
        <v>入力済</v>
      </c>
      <c r="AS83" s="545" t="str">
        <f t="shared" si="52"/>
        <v/>
      </c>
      <c r="AT83" s="547" t="str">
        <f t="shared" si="53"/>
        <v>入力済</v>
      </c>
      <c r="AU83" s="547" t="str">
        <f t="shared" si="54"/>
        <v/>
      </c>
      <c r="AV83" s="547" t="str">
        <f t="shared" si="55"/>
        <v/>
      </c>
      <c r="AW83" s="545" t="str">
        <f t="shared" si="56"/>
        <v/>
      </c>
      <c r="AX83" s="545" t="str">
        <f t="shared" si="41"/>
        <v>入力済</v>
      </c>
      <c r="AY83" s="547" t="str">
        <f>IFERROR(VLOOKUP(K83,【参考】数式用!$AR$3:$AS$49, 2, FALSE), "")</f>
        <v/>
      </c>
      <c r="AZ83" s="545" t="str">
        <f t="shared" si="57"/>
        <v/>
      </c>
      <c r="BA83" s="548" t="str">
        <f t="shared" si="58"/>
        <v>入力済</v>
      </c>
      <c r="BB83" s="547" t="str">
        <f>IFERROR(VLOOKUP(K83,【参考】数式用!$AX$3:$AY$56, 2, FALSE), "")</f>
        <v/>
      </c>
      <c r="BC83" s="545" t="str">
        <f t="shared" si="42"/>
        <v/>
      </c>
      <c r="BD83" s="548" t="str">
        <f t="shared" si="37"/>
        <v>入力済</v>
      </c>
      <c r="BE83" s="548" t="str">
        <f t="shared" si="43"/>
        <v/>
      </c>
      <c r="BF83" s="548" t="str">
        <f t="shared" si="44"/>
        <v/>
      </c>
      <c r="BG83" s="548" t="str">
        <f t="shared" si="45"/>
        <v/>
      </c>
      <c r="BH83" s="548" t="str">
        <f t="shared" si="46"/>
        <v/>
      </c>
      <c r="BI83" s="548" t="str">
        <f t="shared" si="59"/>
        <v/>
      </c>
      <c r="BM83" s="634" t="e">
        <f>VLOOKUP(K83,【参考】数式用!$A$2:$O$57,15,FALSE)</f>
        <v>#N/A</v>
      </c>
    </row>
    <row r="84" spans="1:65" ht="109.9" customHeight="1" thickBot="1">
      <c r="A84" s="454">
        <v>73</v>
      </c>
      <c r="B84" s="933" t="str">
        <f>IF(基本情報入力シート!B112="","",基本情報入力シート!B112)</f>
        <v/>
      </c>
      <c r="C84" s="934"/>
      <c r="D84" s="934"/>
      <c r="E84" s="934"/>
      <c r="F84" s="935"/>
      <c r="G84" s="455" t="str">
        <f>IF(基本情報入力シート!L112="", "", 基本情報入力シート!L112)</f>
        <v/>
      </c>
      <c r="H84" s="455" t="str">
        <f>IF(基本情報入力シート!Q112="", "", 基本情報入力シート!Q112)</f>
        <v/>
      </c>
      <c r="I84" s="455" t="str">
        <f>IF(基本情報入力シート!V112="", "", 基本情報入力シート!V112)</f>
        <v/>
      </c>
      <c r="J84" s="455" t="str">
        <f>IF(基本情報入力シート!W112="", "", 基本情報入力シート!W112)</f>
        <v/>
      </c>
      <c r="K84" s="455" t="str">
        <f>IF(基本情報入力シート!Z112="", "", 基本情報入力シート!Z112)</f>
        <v/>
      </c>
      <c r="L84" s="101" t="str">
        <f>IF(基本情報入力シート!AF112=0, "",基本情報入力シート!AF112)</f>
        <v/>
      </c>
      <c r="M84" s="142" t="str">
        <f>IF(AND(基本情報入力シート!AG112="",基本情報入力シート!AG112=""), "", 基本情報入力シート!AG112)</f>
        <v/>
      </c>
      <c r="N84" s="136"/>
      <c r="O84" s="155" t="str">
        <f>IFERROR(VLOOKUP(K84,【参考】数式用!$A$2:$M$57,MATCH(N84,【参考】数式用!$G$3:$M$3,0)+6,0),"")</f>
        <v/>
      </c>
      <c r="P84" s="456" t="s">
        <v>180</v>
      </c>
      <c r="Q84" s="141"/>
      <c r="R84" s="457" t="s">
        <v>271</v>
      </c>
      <c r="S84" s="141"/>
      <c r="T84" s="457" t="s">
        <v>272</v>
      </c>
      <c r="U84" s="141"/>
      <c r="V84" s="457" t="s">
        <v>271</v>
      </c>
      <c r="W84" s="141"/>
      <c r="X84" s="457" t="s">
        <v>182</v>
      </c>
      <c r="Y84" s="457" t="s">
        <v>274</v>
      </c>
      <c r="Z84" s="457" t="str">
        <f t="shared" si="38"/>
        <v/>
      </c>
      <c r="AA84" s="458" t="s">
        <v>275</v>
      </c>
      <c r="AB84" s="459" t="str">
        <f t="shared" si="39"/>
        <v/>
      </c>
      <c r="AC84" s="460" t="str">
        <f>IFERROR(ROUNDDOWN(ROUNDDOWN(ROUND(L84*VLOOKUP(K84,【参考】数式用!$A$2:$M$57,MATCH("処遇改善加算Ⅳ",【参考】数式用!$G$3:$M$3,0)+6,0),0)*M84,0)*Z84*0.5,0), "")</f>
        <v/>
      </c>
      <c r="AD84" s="156"/>
      <c r="AE84" s="157"/>
      <c r="AF84" s="157"/>
      <c r="AG84" s="158"/>
      <c r="AH84" s="159"/>
      <c r="AI84" s="160"/>
      <c r="AJ84" s="161"/>
      <c r="AK84" s="542" t="str">
        <f t="shared" si="47"/>
        <v/>
      </c>
      <c r="AL84" s="543" t="str">
        <f t="shared" si="40"/>
        <v/>
      </c>
      <c r="AM84" s="544"/>
      <c r="AN84" s="545" t="str">
        <f>IFERROR(VLOOKUP(K84,【参考】数式用!$A$2:$N$57,14,FALSE),"")</f>
        <v/>
      </c>
      <c r="AO84" s="545" t="str">
        <f t="shared" si="48"/>
        <v/>
      </c>
      <c r="AP84" s="546" t="str">
        <f t="shared" si="49"/>
        <v/>
      </c>
      <c r="AQ84" s="546" t="str">
        <f t="shared" si="50"/>
        <v>キャリアパス要件Ⅰ・Ⅱ_</v>
      </c>
      <c r="AR84" s="547" t="str">
        <f t="shared" si="51"/>
        <v>入力済</v>
      </c>
      <c r="AS84" s="545" t="str">
        <f t="shared" si="52"/>
        <v/>
      </c>
      <c r="AT84" s="547" t="str">
        <f t="shared" si="53"/>
        <v>入力済</v>
      </c>
      <c r="AU84" s="547" t="str">
        <f t="shared" si="54"/>
        <v/>
      </c>
      <c r="AV84" s="547" t="str">
        <f t="shared" si="55"/>
        <v/>
      </c>
      <c r="AW84" s="545" t="str">
        <f t="shared" si="56"/>
        <v/>
      </c>
      <c r="AX84" s="545" t="str">
        <f t="shared" si="41"/>
        <v>入力済</v>
      </c>
      <c r="AY84" s="547" t="str">
        <f>IFERROR(VLOOKUP(K84,【参考】数式用!$AR$3:$AS$49, 2, FALSE), "")</f>
        <v/>
      </c>
      <c r="AZ84" s="545" t="str">
        <f t="shared" si="57"/>
        <v/>
      </c>
      <c r="BA84" s="548" t="str">
        <f t="shared" si="58"/>
        <v>入力済</v>
      </c>
      <c r="BB84" s="547" t="str">
        <f>IFERROR(VLOOKUP(K84,【参考】数式用!$AX$3:$AY$56, 2, FALSE), "")</f>
        <v/>
      </c>
      <c r="BC84" s="545" t="str">
        <f t="shared" si="42"/>
        <v/>
      </c>
      <c r="BD84" s="548" t="str">
        <f t="shared" si="37"/>
        <v>入力済</v>
      </c>
      <c r="BE84" s="548" t="str">
        <f t="shared" si="43"/>
        <v/>
      </c>
      <c r="BF84" s="548" t="str">
        <f t="shared" si="44"/>
        <v/>
      </c>
      <c r="BG84" s="548" t="str">
        <f t="shared" si="45"/>
        <v/>
      </c>
      <c r="BH84" s="548" t="str">
        <f t="shared" si="46"/>
        <v/>
      </c>
      <c r="BI84" s="548" t="str">
        <f t="shared" si="59"/>
        <v/>
      </c>
      <c r="BM84" s="634" t="e">
        <f>VLOOKUP(K84,【参考】数式用!$A$2:$O$57,15,FALSE)</f>
        <v>#N/A</v>
      </c>
    </row>
    <row r="85" spans="1:65" ht="109.9" customHeight="1" thickBot="1">
      <c r="A85" s="454">
        <v>74</v>
      </c>
      <c r="B85" s="933" t="str">
        <f>IF(基本情報入力シート!B113="","",基本情報入力シート!B113)</f>
        <v/>
      </c>
      <c r="C85" s="934"/>
      <c r="D85" s="934"/>
      <c r="E85" s="934"/>
      <c r="F85" s="935"/>
      <c r="G85" s="455" t="str">
        <f>IF(基本情報入力シート!L113="", "", 基本情報入力シート!L113)</f>
        <v/>
      </c>
      <c r="H85" s="455" t="str">
        <f>IF(基本情報入力シート!Q113="", "", 基本情報入力シート!Q113)</f>
        <v/>
      </c>
      <c r="I85" s="455" t="str">
        <f>IF(基本情報入力シート!V113="", "", 基本情報入力シート!V113)</f>
        <v/>
      </c>
      <c r="J85" s="455" t="str">
        <f>IF(基本情報入力シート!W113="", "", 基本情報入力シート!W113)</f>
        <v/>
      </c>
      <c r="K85" s="455" t="str">
        <f>IF(基本情報入力シート!Z113="", "", 基本情報入力シート!Z113)</f>
        <v/>
      </c>
      <c r="L85" s="101" t="str">
        <f>IF(基本情報入力シート!AF113=0, "",基本情報入力シート!AF113)</f>
        <v/>
      </c>
      <c r="M85" s="142" t="str">
        <f>IF(AND(基本情報入力シート!AG113="",基本情報入力シート!AG113=""), "", 基本情報入力シート!AG113)</f>
        <v/>
      </c>
      <c r="N85" s="136"/>
      <c r="O85" s="155" t="str">
        <f>IFERROR(VLOOKUP(K85,【参考】数式用!$A$2:$M$57,MATCH(N85,【参考】数式用!$G$3:$M$3,0)+6,0),"")</f>
        <v/>
      </c>
      <c r="P85" s="456" t="s">
        <v>180</v>
      </c>
      <c r="Q85" s="141"/>
      <c r="R85" s="457" t="s">
        <v>271</v>
      </c>
      <c r="S85" s="141"/>
      <c r="T85" s="457" t="s">
        <v>272</v>
      </c>
      <c r="U85" s="141"/>
      <c r="V85" s="457" t="s">
        <v>271</v>
      </c>
      <c r="W85" s="141"/>
      <c r="X85" s="457" t="s">
        <v>273</v>
      </c>
      <c r="Y85" s="457" t="s">
        <v>274</v>
      </c>
      <c r="Z85" s="457" t="str">
        <f t="shared" si="38"/>
        <v/>
      </c>
      <c r="AA85" s="458" t="s">
        <v>275</v>
      </c>
      <c r="AB85" s="459" t="str">
        <f t="shared" si="39"/>
        <v/>
      </c>
      <c r="AC85" s="460" t="str">
        <f>IFERROR(ROUNDDOWN(ROUNDDOWN(ROUND(L85*VLOOKUP(K85,【参考】数式用!$A$2:$M$57,MATCH("処遇改善加算Ⅳ",【参考】数式用!$G$3:$M$3,0)+6,0),0)*M85,0)*Z85*0.5,0), "")</f>
        <v/>
      </c>
      <c r="AD85" s="156"/>
      <c r="AE85" s="157"/>
      <c r="AF85" s="157"/>
      <c r="AG85" s="158"/>
      <c r="AH85" s="159"/>
      <c r="AI85" s="160"/>
      <c r="AJ85" s="161"/>
      <c r="AK85" s="542" t="str">
        <f t="shared" si="47"/>
        <v/>
      </c>
      <c r="AL85" s="543" t="str">
        <f t="shared" si="40"/>
        <v/>
      </c>
      <c r="AM85" s="544"/>
      <c r="AN85" s="545" t="str">
        <f>IFERROR(VLOOKUP(K85,【参考】数式用!$A$2:$N$57,14,FALSE),"")</f>
        <v/>
      </c>
      <c r="AO85" s="545" t="str">
        <f t="shared" si="48"/>
        <v/>
      </c>
      <c r="AP85" s="546" t="str">
        <f t="shared" si="49"/>
        <v/>
      </c>
      <c r="AQ85" s="546" t="str">
        <f t="shared" si="50"/>
        <v>キャリアパス要件Ⅰ・Ⅱ_</v>
      </c>
      <c r="AR85" s="547" t="str">
        <f t="shared" si="51"/>
        <v>入力済</v>
      </c>
      <c r="AS85" s="545" t="str">
        <f t="shared" si="52"/>
        <v/>
      </c>
      <c r="AT85" s="547" t="str">
        <f t="shared" si="53"/>
        <v>入力済</v>
      </c>
      <c r="AU85" s="547" t="str">
        <f t="shared" si="54"/>
        <v/>
      </c>
      <c r="AV85" s="547" t="str">
        <f t="shared" si="55"/>
        <v/>
      </c>
      <c r="AW85" s="545" t="str">
        <f t="shared" si="56"/>
        <v/>
      </c>
      <c r="AX85" s="545" t="str">
        <f t="shared" si="41"/>
        <v>入力済</v>
      </c>
      <c r="AY85" s="547" t="str">
        <f>IFERROR(VLOOKUP(K85,【参考】数式用!$AR$3:$AS$49, 2, FALSE), "")</f>
        <v/>
      </c>
      <c r="AZ85" s="545" t="str">
        <f t="shared" si="57"/>
        <v/>
      </c>
      <c r="BA85" s="548" t="str">
        <f t="shared" si="58"/>
        <v>入力済</v>
      </c>
      <c r="BB85" s="547" t="str">
        <f>IFERROR(VLOOKUP(K85,【参考】数式用!$AX$3:$AY$56, 2, FALSE), "")</f>
        <v/>
      </c>
      <c r="BC85" s="545" t="str">
        <f t="shared" si="42"/>
        <v/>
      </c>
      <c r="BD85" s="548" t="str">
        <f t="shared" si="37"/>
        <v>入力済</v>
      </c>
      <c r="BE85" s="548" t="str">
        <f t="shared" si="43"/>
        <v/>
      </c>
      <c r="BF85" s="548" t="str">
        <f t="shared" si="44"/>
        <v/>
      </c>
      <c r="BG85" s="548" t="str">
        <f t="shared" si="45"/>
        <v/>
      </c>
      <c r="BH85" s="548" t="str">
        <f t="shared" si="46"/>
        <v/>
      </c>
      <c r="BI85" s="548" t="str">
        <f t="shared" si="59"/>
        <v/>
      </c>
      <c r="BM85" s="634" t="e">
        <f>VLOOKUP(K85,【参考】数式用!$A$2:$O$57,15,FALSE)</f>
        <v>#N/A</v>
      </c>
    </row>
    <row r="86" spans="1:65" ht="109.9" customHeight="1" thickBot="1">
      <c r="A86" s="454">
        <v>75</v>
      </c>
      <c r="B86" s="933" t="str">
        <f>IF(基本情報入力シート!B114="","",基本情報入力シート!B114)</f>
        <v/>
      </c>
      <c r="C86" s="934"/>
      <c r="D86" s="934"/>
      <c r="E86" s="934"/>
      <c r="F86" s="935"/>
      <c r="G86" s="455" t="str">
        <f>IF(基本情報入力シート!L114="", "", 基本情報入力シート!L114)</f>
        <v/>
      </c>
      <c r="H86" s="455" t="str">
        <f>IF(基本情報入力シート!Q114="", "", 基本情報入力シート!Q114)</f>
        <v/>
      </c>
      <c r="I86" s="455" t="str">
        <f>IF(基本情報入力シート!V114="", "", 基本情報入力シート!V114)</f>
        <v/>
      </c>
      <c r="J86" s="455" t="str">
        <f>IF(基本情報入力シート!W114="", "", 基本情報入力シート!W114)</f>
        <v/>
      </c>
      <c r="K86" s="455" t="str">
        <f>IF(基本情報入力シート!Z114="", "", 基本情報入力シート!Z114)</f>
        <v/>
      </c>
      <c r="L86" s="101" t="str">
        <f>IF(基本情報入力シート!AF114=0, "",基本情報入力シート!AF114)</f>
        <v/>
      </c>
      <c r="M86" s="142" t="str">
        <f>IF(AND(基本情報入力シート!AG114="",基本情報入力シート!AG114=""), "", 基本情報入力シート!AG114)</f>
        <v/>
      </c>
      <c r="N86" s="136"/>
      <c r="O86" s="155" t="str">
        <f>IFERROR(VLOOKUP(K86,【参考】数式用!$A$2:$M$57,MATCH(N86,【参考】数式用!$G$3:$M$3,0)+6,0),"")</f>
        <v/>
      </c>
      <c r="P86" s="456" t="s">
        <v>180</v>
      </c>
      <c r="Q86" s="141"/>
      <c r="R86" s="457" t="s">
        <v>271</v>
      </c>
      <c r="S86" s="141"/>
      <c r="T86" s="457" t="s">
        <v>272</v>
      </c>
      <c r="U86" s="141"/>
      <c r="V86" s="457" t="s">
        <v>271</v>
      </c>
      <c r="W86" s="141"/>
      <c r="X86" s="457" t="s">
        <v>273</v>
      </c>
      <c r="Y86" s="457" t="s">
        <v>274</v>
      </c>
      <c r="Z86" s="457" t="str">
        <f t="shared" si="38"/>
        <v/>
      </c>
      <c r="AA86" s="458" t="s">
        <v>275</v>
      </c>
      <c r="AB86" s="459" t="str">
        <f t="shared" si="39"/>
        <v/>
      </c>
      <c r="AC86" s="460" t="str">
        <f>IFERROR(ROUNDDOWN(ROUNDDOWN(ROUND(L86*VLOOKUP(K86,【参考】数式用!$A$2:$M$57,MATCH("処遇改善加算Ⅳ",【参考】数式用!$G$3:$M$3,0)+6,0),0)*M86,0)*Z86*0.5,0), "")</f>
        <v/>
      </c>
      <c r="AD86" s="156"/>
      <c r="AE86" s="157"/>
      <c r="AF86" s="157"/>
      <c r="AG86" s="158"/>
      <c r="AH86" s="159"/>
      <c r="AI86" s="160"/>
      <c r="AJ86" s="161"/>
      <c r="AK86" s="542" t="str">
        <f t="shared" si="47"/>
        <v/>
      </c>
      <c r="AL86" s="543" t="str">
        <f t="shared" si="40"/>
        <v/>
      </c>
      <c r="AM86" s="544"/>
      <c r="AN86" s="545" t="str">
        <f>IFERROR(VLOOKUP(K86,【参考】数式用!$A$2:$N$57,14,FALSE),"")</f>
        <v/>
      </c>
      <c r="AO86" s="545" t="str">
        <f t="shared" si="48"/>
        <v/>
      </c>
      <c r="AP86" s="546" t="str">
        <f t="shared" si="49"/>
        <v/>
      </c>
      <c r="AQ86" s="546" t="str">
        <f t="shared" si="50"/>
        <v>キャリアパス要件Ⅰ・Ⅱ_</v>
      </c>
      <c r="AR86" s="547" t="str">
        <f t="shared" si="51"/>
        <v>入力済</v>
      </c>
      <c r="AS86" s="545" t="str">
        <f t="shared" si="52"/>
        <v/>
      </c>
      <c r="AT86" s="547" t="str">
        <f t="shared" si="53"/>
        <v>入力済</v>
      </c>
      <c r="AU86" s="547" t="str">
        <f t="shared" si="54"/>
        <v/>
      </c>
      <c r="AV86" s="547" t="str">
        <f t="shared" si="55"/>
        <v/>
      </c>
      <c r="AW86" s="545" t="str">
        <f t="shared" si="56"/>
        <v/>
      </c>
      <c r="AX86" s="545" t="str">
        <f t="shared" si="41"/>
        <v>入力済</v>
      </c>
      <c r="AY86" s="547" t="str">
        <f>IFERROR(VLOOKUP(K86,【参考】数式用!$AR$3:$AS$49, 2, FALSE), "")</f>
        <v/>
      </c>
      <c r="AZ86" s="545" t="str">
        <f t="shared" si="57"/>
        <v/>
      </c>
      <c r="BA86" s="548" t="str">
        <f t="shared" si="58"/>
        <v>入力済</v>
      </c>
      <c r="BB86" s="547" t="str">
        <f>IFERROR(VLOOKUP(K86,【参考】数式用!$AX$3:$AY$56, 2, FALSE), "")</f>
        <v/>
      </c>
      <c r="BC86" s="545" t="str">
        <f t="shared" si="42"/>
        <v/>
      </c>
      <c r="BD86" s="548" t="str">
        <f t="shared" si="37"/>
        <v>入力済</v>
      </c>
      <c r="BE86" s="548" t="str">
        <f t="shared" si="43"/>
        <v/>
      </c>
      <c r="BF86" s="548" t="str">
        <f t="shared" si="44"/>
        <v/>
      </c>
      <c r="BG86" s="548" t="str">
        <f t="shared" si="45"/>
        <v/>
      </c>
      <c r="BH86" s="548" t="str">
        <f t="shared" si="46"/>
        <v/>
      </c>
      <c r="BI86" s="548" t="str">
        <f t="shared" si="59"/>
        <v/>
      </c>
      <c r="BM86" s="634" t="e">
        <f>VLOOKUP(K86,【参考】数式用!$A$2:$O$57,15,FALSE)</f>
        <v>#N/A</v>
      </c>
    </row>
    <row r="87" spans="1:65" ht="109.9" customHeight="1" thickBot="1">
      <c r="A87" s="454">
        <v>76</v>
      </c>
      <c r="B87" s="933" t="str">
        <f>IF(基本情報入力シート!B115="","",基本情報入力シート!B115)</f>
        <v/>
      </c>
      <c r="C87" s="934"/>
      <c r="D87" s="934"/>
      <c r="E87" s="934"/>
      <c r="F87" s="935"/>
      <c r="G87" s="455" t="str">
        <f>IF(基本情報入力シート!L115="", "", 基本情報入力シート!L115)</f>
        <v/>
      </c>
      <c r="H87" s="455" t="str">
        <f>IF(基本情報入力シート!Q115="", "", 基本情報入力シート!Q115)</f>
        <v/>
      </c>
      <c r="I87" s="455" t="str">
        <f>IF(基本情報入力シート!V115="", "", 基本情報入力シート!V115)</f>
        <v/>
      </c>
      <c r="J87" s="455" t="str">
        <f>IF(基本情報入力シート!W115="", "", 基本情報入力シート!W115)</f>
        <v/>
      </c>
      <c r="K87" s="455" t="str">
        <f>IF(基本情報入力シート!Z115="", "", 基本情報入力シート!Z115)</f>
        <v/>
      </c>
      <c r="L87" s="101" t="str">
        <f>IF(基本情報入力シート!AF115=0, "",基本情報入力シート!AF115)</f>
        <v/>
      </c>
      <c r="M87" s="142" t="str">
        <f>IF(AND(基本情報入力シート!AG115="",基本情報入力シート!AG115=""), "", 基本情報入力シート!AG115)</f>
        <v/>
      </c>
      <c r="N87" s="136"/>
      <c r="O87" s="155" t="str">
        <f>IFERROR(VLOOKUP(K87,【参考】数式用!$A$2:$M$57,MATCH(N87,【参考】数式用!$G$3:$M$3,0)+6,0),"")</f>
        <v/>
      </c>
      <c r="P87" s="456" t="s">
        <v>180</v>
      </c>
      <c r="Q87" s="141"/>
      <c r="R87" s="457" t="s">
        <v>271</v>
      </c>
      <c r="S87" s="141"/>
      <c r="T87" s="457" t="s">
        <v>272</v>
      </c>
      <c r="U87" s="141"/>
      <c r="V87" s="457" t="s">
        <v>271</v>
      </c>
      <c r="W87" s="141"/>
      <c r="X87" s="457" t="s">
        <v>273</v>
      </c>
      <c r="Y87" s="457" t="s">
        <v>274</v>
      </c>
      <c r="Z87" s="457" t="str">
        <f t="shared" si="38"/>
        <v/>
      </c>
      <c r="AA87" s="458" t="s">
        <v>275</v>
      </c>
      <c r="AB87" s="459" t="str">
        <f t="shared" si="39"/>
        <v/>
      </c>
      <c r="AC87" s="460" t="str">
        <f>IFERROR(ROUNDDOWN(ROUNDDOWN(ROUND(L87*VLOOKUP(K87,【参考】数式用!$A$2:$M$57,MATCH("処遇改善加算Ⅳ",【参考】数式用!$G$3:$M$3,0)+6,0),0)*M87,0)*Z87*0.5,0), "")</f>
        <v/>
      </c>
      <c r="AD87" s="156"/>
      <c r="AE87" s="157"/>
      <c r="AF87" s="157"/>
      <c r="AG87" s="158"/>
      <c r="AH87" s="159"/>
      <c r="AI87" s="160"/>
      <c r="AJ87" s="161"/>
      <c r="AK87" s="542" t="str">
        <f t="shared" si="47"/>
        <v/>
      </c>
      <c r="AL87" s="543" t="str">
        <f t="shared" si="40"/>
        <v/>
      </c>
      <c r="AM87" s="544"/>
      <c r="AN87" s="545" t="str">
        <f>IFERROR(VLOOKUP(K87,【参考】数式用!$A$2:$N$57,14,FALSE),"")</f>
        <v/>
      </c>
      <c r="AO87" s="545" t="str">
        <f t="shared" si="48"/>
        <v/>
      </c>
      <c r="AP87" s="546" t="str">
        <f t="shared" si="49"/>
        <v/>
      </c>
      <c r="AQ87" s="546" t="str">
        <f t="shared" si="50"/>
        <v>キャリアパス要件Ⅰ・Ⅱ_</v>
      </c>
      <c r="AR87" s="547" t="str">
        <f t="shared" si="51"/>
        <v>入力済</v>
      </c>
      <c r="AS87" s="545" t="str">
        <f t="shared" si="52"/>
        <v/>
      </c>
      <c r="AT87" s="547" t="str">
        <f t="shared" si="53"/>
        <v>入力済</v>
      </c>
      <c r="AU87" s="547" t="str">
        <f t="shared" si="54"/>
        <v/>
      </c>
      <c r="AV87" s="547" t="str">
        <f t="shared" si="55"/>
        <v/>
      </c>
      <c r="AW87" s="545" t="str">
        <f t="shared" si="56"/>
        <v/>
      </c>
      <c r="AX87" s="545" t="str">
        <f t="shared" si="41"/>
        <v>入力済</v>
      </c>
      <c r="AY87" s="547" t="str">
        <f>IFERROR(VLOOKUP(K87,【参考】数式用!$AR$3:$AS$49, 2, FALSE), "")</f>
        <v/>
      </c>
      <c r="AZ87" s="545" t="str">
        <f t="shared" si="57"/>
        <v/>
      </c>
      <c r="BA87" s="548" t="str">
        <f t="shared" si="58"/>
        <v>入力済</v>
      </c>
      <c r="BB87" s="547" t="str">
        <f>IFERROR(VLOOKUP(K87,【参考】数式用!$AX$3:$AY$56, 2, FALSE), "")</f>
        <v/>
      </c>
      <c r="BC87" s="545" t="str">
        <f t="shared" si="42"/>
        <v/>
      </c>
      <c r="BD87" s="548" t="str">
        <f t="shared" si="37"/>
        <v>入力済</v>
      </c>
      <c r="BE87" s="548" t="str">
        <f t="shared" si="43"/>
        <v/>
      </c>
      <c r="BF87" s="548" t="str">
        <f t="shared" si="44"/>
        <v/>
      </c>
      <c r="BG87" s="548" t="str">
        <f t="shared" si="45"/>
        <v/>
      </c>
      <c r="BH87" s="548" t="str">
        <f t="shared" si="46"/>
        <v/>
      </c>
      <c r="BI87" s="548" t="str">
        <f t="shared" si="59"/>
        <v/>
      </c>
      <c r="BM87" s="634" t="e">
        <f>VLOOKUP(K87,【参考】数式用!$A$2:$O$57,15,FALSE)</f>
        <v>#N/A</v>
      </c>
    </row>
    <row r="88" spans="1:65" ht="109.9" customHeight="1" thickBot="1">
      <c r="A88" s="454">
        <v>77</v>
      </c>
      <c r="B88" s="933" t="str">
        <f>IF(基本情報入力シート!B116="","",基本情報入力シート!B116)</f>
        <v/>
      </c>
      <c r="C88" s="934"/>
      <c r="D88" s="934"/>
      <c r="E88" s="934"/>
      <c r="F88" s="935"/>
      <c r="G88" s="455" t="str">
        <f>IF(基本情報入力シート!L116="", "", 基本情報入力シート!L116)</f>
        <v/>
      </c>
      <c r="H88" s="455" t="str">
        <f>IF(基本情報入力シート!Q116="", "", 基本情報入力シート!Q116)</f>
        <v/>
      </c>
      <c r="I88" s="455" t="str">
        <f>IF(基本情報入力シート!V116="", "", 基本情報入力シート!V116)</f>
        <v/>
      </c>
      <c r="J88" s="455" t="str">
        <f>IF(基本情報入力シート!W116="", "", 基本情報入力シート!W116)</f>
        <v/>
      </c>
      <c r="K88" s="455" t="str">
        <f>IF(基本情報入力シート!Z116="", "", 基本情報入力シート!Z116)</f>
        <v/>
      </c>
      <c r="L88" s="101" t="str">
        <f>IF(基本情報入力シート!AF116=0, "",基本情報入力シート!AF116)</f>
        <v/>
      </c>
      <c r="M88" s="142" t="str">
        <f>IF(AND(基本情報入力シート!AG116="",基本情報入力シート!AG116=""), "", 基本情報入力シート!AG116)</f>
        <v/>
      </c>
      <c r="N88" s="136"/>
      <c r="O88" s="155" t="str">
        <f>IFERROR(VLOOKUP(K88,【参考】数式用!$A$2:$M$57,MATCH(N88,【参考】数式用!$G$3:$M$3,0)+6,0),"")</f>
        <v/>
      </c>
      <c r="P88" s="456" t="s">
        <v>180</v>
      </c>
      <c r="Q88" s="141"/>
      <c r="R88" s="457" t="s">
        <v>271</v>
      </c>
      <c r="S88" s="141"/>
      <c r="T88" s="457" t="s">
        <v>272</v>
      </c>
      <c r="U88" s="141"/>
      <c r="V88" s="457" t="s">
        <v>271</v>
      </c>
      <c r="W88" s="141"/>
      <c r="X88" s="457" t="s">
        <v>182</v>
      </c>
      <c r="Y88" s="457" t="s">
        <v>274</v>
      </c>
      <c r="Z88" s="457" t="str">
        <f t="shared" si="38"/>
        <v/>
      </c>
      <c r="AA88" s="458" t="s">
        <v>275</v>
      </c>
      <c r="AB88" s="459" t="str">
        <f t="shared" si="39"/>
        <v/>
      </c>
      <c r="AC88" s="460" t="str">
        <f>IFERROR(ROUNDDOWN(ROUNDDOWN(ROUND(L88*VLOOKUP(K88,【参考】数式用!$A$2:$M$57,MATCH("処遇改善加算Ⅳ",【参考】数式用!$G$3:$M$3,0)+6,0),0)*M88,0)*Z88*0.5,0), "")</f>
        <v/>
      </c>
      <c r="AD88" s="156"/>
      <c r="AE88" s="157"/>
      <c r="AF88" s="157"/>
      <c r="AG88" s="158"/>
      <c r="AH88" s="159"/>
      <c r="AI88" s="160"/>
      <c r="AJ88" s="161"/>
      <c r="AK88" s="542" t="str">
        <f t="shared" si="47"/>
        <v/>
      </c>
      <c r="AL88" s="543" t="str">
        <f t="shared" si="40"/>
        <v/>
      </c>
      <c r="AM88" s="544"/>
      <c r="AN88" s="545" t="str">
        <f>IFERROR(VLOOKUP(K88,【参考】数式用!$A$2:$N$57,14,FALSE),"")</f>
        <v/>
      </c>
      <c r="AO88" s="545" t="str">
        <f t="shared" si="48"/>
        <v/>
      </c>
      <c r="AP88" s="546" t="str">
        <f t="shared" si="49"/>
        <v/>
      </c>
      <c r="AQ88" s="546" t="str">
        <f t="shared" si="50"/>
        <v>キャリアパス要件Ⅰ・Ⅱ_</v>
      </c>
      <c r="AR88" s="547" t="str">
        <f t="shared" si="51"/>
        <v>入力済</v>
      </c>
      <c r="AS88" s="545" t="str">
        <f t="shared" si="52"/>
        <v/>
      </c>
      <c r="AT88" s="547" t="str">
        <f t="shared" si="53"/>
        <v>入力済</v>
      </c>
      <c r="AU88" s="547" t="str">
        <f t="shared" si="54"/>
        <v/>
      </c>
      <c r="AV88" s="547" t="str">
        <f t="shared" si="55"/>
        <v/>
      </c>
      <c r="AW88" s="545" t="str">
        <f t="shared" si="56"/>
        <v/>
      </c>
      <c r="AX88" s="545" t="str">
        <f t="shared" si="41"/>
        <v>入力済</v>
      </c>
      <c r="AY88" s="547" t="str">
        <f>IFERROR(VLOOKUP(K88,【参考】数式用!$AR$3:$AS$49, 2, FALSE), "")</f>
        <v/>
      </c>
      <c r="AZ88" s="545" t="str">
        <f t="shared" si="57"/>
        <v/>
      </c>
      <c r="BA88" s="548" t="str">
        <f t="shared" si="58"/>
        <v>入力済</v>
      </c>
      <c r="BB88" s="547" t="str">
        <f>IFERROR(VLOOKUP(K88,【参考】数式用!$AX$3:$AY$56, 2, FALSE), "")</f>
        <v/>
      </c>
      <c r="BC88" s="545" t="str">
        <f t="shared" si="42"/>
        <v/>
      </c>
      <c r="BD88" s="548" t="str">
        <f t="shared" si="37"/>
        <v>入力済</v>
      </c>
      <c r="BE88" s="548" t="str">
        <f t="shared" si="43"/>
        <v/>
      </c>
      <c r="BF88" s="548" t="str">
        <f t="shared" si="44"/>
        <v/>
      </c>
      <c r="BG88" s="548" t="str">
        <f t="shared" si="45"/>
        <v/>
      </c>
      <c r="BH88" s="548" t="str">
        <f t="shared" si="46"/>
        <v/>
      </c>
      <c r="BI88" s="548" t="str">
        <f t="shared" si="59"/>
        <v/>
      </c>
      <c r="BM88" s="634" t="e">
        <f>VLOOKUP(K88,【参考】数式用!$A$2:$O$57,15,FALSE)</f>
        <v>#N/A</v>
      </c>
    </row>
    <row r="89" spans="1:65" ht="109.9" customHeight="1" thickBot="1">
      <c r="A89" s="454">
        <v>78</v>
      </c>
      <c r="B89" s="933" t="str">
        <f>IF(基本情報入力シート!B117="","",基本情報入力シート!B117)</f>
        <v/>
      </c>
      <c r="C89" s="934"/>
      <c r="D89" s="934"/>
      <c r="E89" s="934"/>
      <c r="F89" s="935"/>
      <c r="G89" s="455" t="str">
        <f>IF(基本情報入力シート!L117="", "", 基本情報入力シート!L117)</f>
        <v/>
      </c>
      <c r="H89" s="455" t="str">
        <f>IF(基本情報入力シート!Q117="", "", 基本情報入力シート!Q117)</f>
        <v/>
      </c>
      <c r="I89" s="455" t="str">
        <f>IF(基本情報入力シート!V117="", "", 基本情報入力シート!V117)</f>
        <v/>
      </c>
      <c r="J89" s="455" t="str">
        <f>IF(基本情報入力シート!W117="", "", 基本情報入力シート!W117)</f>
        <v/>
      </c>
      <c r="K89" s="455" t="str">
        <f>IF(基本情報入力シート!Z117="", "", 基本情報入力シート!Z117)</f>
        <v/>
      </c>
      <c r="L89" s="101" t="str">
        <f>IF(基本情報入力シート!AF117=0, "",基本情報入力シート!AF117)</f>
        <v/>
      </c>
      <c r="M89" s="142" t="str">
        <f>IF(AND(基本情報入力シート!AG117="",基本情報入力シート!AG117=""), "", 基本情報入力シート!AG117)</f>
        <v/>
      </c>
      <c r="N89" s="136"/>
      <c r="O89" s="155" t="str">
        <f>IFERROR(VLOOKUP(K89,【参考】数式用!$A$2:$M$57,MATCH(N89,【参考】数式用!$G$3:$M$3,0)+6,0),"")</f>
        <v/>
      </c>
      <c r="P89" s="456" t="s">
        <v>180</v>
      </c>
      <c r="Q89" s="141"/>
      <c r="R89" s="457" t="s">
        <v>271</v>
      </c>
      <c r="S89" s="141"/>
      <c r="T89" s="457" t="s">
        <v>272</v>
      </c>
      <c r="U89" s="141"/>
      <c r="V89" s="457" t="s">
        <v>271</v>
      </c>
      <c r="W89" s="141"/>
      <c r="X89" s="457" t="s">
        <v>182</v>
      </c>
      <c r="Y89" s="457" t="s">
        <v>274</v>
      </c>
      <c r="Z89" s="457" t="str">
        <f t="shared" si="38"/>
        <v/>
      </c>
      <c r="AA89" s="458" t="s">
        <v>275</v>
      </c>
      <c r="AB89" s="459" t="str">
        <f t="shared" si="39"/>
        <v/>
      </c>
      <c r="AC89" s="460" t="str">
        <f>IFERROR(ROUNDDOWN(ROUNDDOWN(ROUND(L89*VLOOKUP(K89,【参考】数式用!$A$2:$M$57,MATCH("処遇改善加算Ⅳ",【参考】数式用!$G$3:$M$3,0)+6,0),0)*M89,0)*Z89*0.5,0), "")</f>
        <v/>
      </c>
      <c r="AD89" s="156"/>
      <c r="AE89" s="157"/>
      <c r="AF89" s="157"/>
      <c r="AG89" s="158"/>
      <c r="AH89" s="159"/>
      <c r="AI89" s="160"/>
      <c r="AJ89" s="161"/>
      <c r="AK89" s="542" t="str">
        <f t="shared" si="47"/>
        <v/>
      </c>
      <c r="AL89" s="543" t="str">
        <f t="shared" si="40"/>
        <v/>
      </c>
      <c r="AM89" s="544"/>
      <c r="AN89" s="545" t="str">
        <f>IFERROR(VLOOKUP(K89,【参考】数式用!$A$2:$N$57,14,FALSE),"")</f>
        <v/>
      </c>
      <c r="AO89" s="545" t="str">
        <f t="shared" si="48"/>
        <v/>
      </c>
      <c r="AP89" s="546" t="str">
        <f t="shared" si="49"/>
        <v/>
      </c>
      <c r="AQ89" s="546" t="str">
        <f t="shared" si="50"/>
        <v>キャリアパス要件Ⅰ・Ⅱ_</v>
      </c>
      <c r="AR89" s="547" t="str">
        <f t="shared" si="51"/>
        <v>入力済</v>
      </c>
      <c r="AS89" s="545" t="str">
        <f t="shared" si="52"/>
        <v/>
      </c>
      <c r="AT89" s="547" t="str">
        <f t="shared" si="53"/>
        <v>入力済</v>
      </c>
      <c r="AU89" s="547" t="str">
        <f t="shared" si="54"/>
        <v/>
      </c>
      <c r="AV89" s="547" t="str">
        <f t="shared" si="55"/>
        <v/>
      </c>
      <c r="AW89" s="545" t="str">
        <f t="shared" si="56"/>
        <v/>
      </c>
      <c r="AX89" s="545" t="str">
        <f t="shared" si="41"/>
        <v>入力済</v>
      </c>
      <c r="AY89" s="547" t="str">
        <f>IFERROR(VLOOKUP(K89,【参考】数式用!$AR$3:$AS$49, 2, FALSE), "")</f>
        <v/>
      </c>
      <c r="AZ89" s="545" t="str">
        <f t="shared" si="57"/>
        <v/>
      </c>
      <c r="BA89" s="548" t="str">
        <f t="shared" si="58"/>
        <v>入力済</v>
      </c>
      <c r="BB89" s="547" t="str">
        <f>IFERROR(VLOOKUP(K89,【参考】数式用!$AX$3:$AY$56, 2, FALSE), "")</f>
        <v/>
      </c>
      <c r="BC89" s="545" t="str">
        <f t="shared" si="42"/>
        <v/>
      </c>
      <c r="BD89" s="548" t="str">
        <f t="shared" si="37"/>
        <v>入力済</v>
      </c>
      <c r="BE89" s="548" t="str">
        <f t="shared" si="43"/>
        <v/>
      </c>
      <c r="BF89" s="548" t="str">
        <f t="shared" si="44"/>
        <v/>
      </c>
      <c r="BG89" s="548" t="str">
        <f t="shared" si="45"/>
        <v/>
      </c>
      <c r="BH89" s="548" t="str">
        <f t="shared" si="46"/>
        <v/>
      </c>
      <c r="BI89" s="548" t="str">
        <f t="shared" si="59"/>
        <v/>
      </c>
      <c r="BM89" s="634" t="e">
        <f>VLOOKUP(K89,【参考】数式用!$A$2:$O$57,15,FALSE)</f>
        <v>#N/A</v>
      </c>
    </row>
    <row r="90" spans="1:65" ht="109.9" customHeight="1" thickBot="1">
      <c r="A90" s="454">
        <v>79</v>
      </c>
      <c r="B90" s="933" t="str">
        <f>IF(基本情報入力シート!B118="","",基本情報入力シート!B118)</f>
        <v/>
      </c>
      <c r="C90" s="934"/>
      <c r="D90" s="934"/>
      <c r="E90" s="934"/>
      <c r="F90" s="935"/>
      <c r="G90" s="455" t="str">
        <f>IF(基本情報入力シート!L118="", "", 基本情報入力シート!L118)</f>
        <v/>
      </c>
      <c r="H90" s="455" t="str">
        <f>IF(基本情報入力シート!Q118="", "", 基本情報入力シート!Q118)</f>
        <v/>
      </c>
      <c r="I90" s="455" t="str">
        <f>IF(基本情報入力シート!V118="", "", 基本情報入力シート!V118)</f>
        <v/>
      </c>
      <c r="J90" s="455" t="str">
        <f>IF(基本情報入力シート!W118="", "", 基本情報入力シート!W118)</f>
        <v/>
      </c>
      <c r="K90" s="455" t="str">
        <f>IF(基本情報入力シート!Z118="", "", 基本情報入力シート!Z118)</f>
        <v/>
      </c>
      <c r="L90" s="101" t="str">
        <f>IF(基本情報入力シート!AF118=0, "",基本情報入力シート!AF118)</f>
        <v/>
      </c>
      <c r="M90" s="142" t="str">
        <f>IF(AND(基本情報入力シート!AG118="",基本情報入力シート!AG118=""), "", 基本情報入力シート!AG118)</f>
        <v/>
      </c>
      <c r="N90" s="136"/>
      <c r="O90" s="155" t="str">
        <f>IFERROR(VLOOKUP(K90,【参考】数式用!$A$2:$M$57,MATCH(N90,【参考】数式用!$G$3:$M$3,0)+6,0),"")</f>
        <v/>
      </c>
      <c r="P90" s="456" t="s">
        <v>180</v>
      </c>
      <c r="Q90" s="141"/>
      <c r="R90" s="457" t="s">
        <v>271</v>
      </c>
      <c r="S90" s="141"/>
      <c r="T90" s="457" t="s">
        <v>272</v>
      </c>
      <c r="U90" s="141"/>
      <c r="V90" s="457" t="s">
        <v>271</v>
      </c>
      <c r="W90" s="141"/>
      <c r="X90" s="457" t="s">
        <v>273</v>
      </c>
      <c r="Y90" s="457" t="s">
        <v>274</v>
      </c>
      <c r="Z90" s="457" t="str">
        <f t="shared" si="38"/>
        <v/>
      </c>
      <c r="AA90" s="458" t="s">
        <v>275</v>
      </c>
      <c r="AB90" s="459" t="str">
        <f t="shared" si="39"/>
        <v/>
      </c>
      <c r="AC90" s="460" t="str">
        <f>IFERROR(ROUNDDOWN(ROUNDDOWN(ROUND(L90*VLOOKUP(K90,【参考】数式用!$A$2:$M$57,MATCH("処遇改善加算Ⅳ",【参考】数式用!$G$3:$M$3,0)+6,0),0)*M90,0)*Z90*0.5,0), "")</f>
        <v/>
      </c>
      <c r="AD90" s="156"/>
      <c r="AE90" s="157"/>
      <c r="AF90" s="157"/>
      <c r="AG90" s="158"/>
      <c r="AH90" s="159"/>
      <c r="AI90" s="160"/>
      <c r="AJ90" s="161"/>
      <c r="AK90" s="542" t="str">
        <f t="shared" si="47"/>
        <v/>
      </c>
      <c r="AL90" s="543" t="str">
        <f t="shared" si="40"/>
        <v/>
      </c>
      <c r="AM90" s="544"/>
      <c r="AN90" s="545" t="str">
        <f>IFERROR(VLOOKUP(K90,【参考】数式用!$A$2:$N$57,14,FALSE),"")</f>
        <v/>
      </c>
      <c r="AO90" s="545" t="str">
        <f t="shared" si="48"/>
        <v/>
      </c>
      <c r="AP90" s="546" t="str">
        <f t="shared" si="49"/>
        <v/>
      </c>
      <c r="AQ90" s="546" t="str">
        <f t="shared" si="50"/>
        <v>キャリアパス要件Ⅰ・Ⅱ_</v>
      </c>
      <c r="AR90" s="547" t="str">
        <f t="shared" si="51"/>
        <v>入力済</v>
      </c>
      <c r="AS90" s="545" t="str">
        <f t="shared" si="52"/>
        <v/>
      </c>
      <c r="AT90" s="547" t="str">
        <f t="shared" si="53"/>
        <v>入力済</v>
      </c>
      <c r="AU90" s="547" t="str">
        <f t="shared" si="54"/>
        <v/>
      </c>
      <c r="AV90" s="547" t="str">
        <f t="shared" si="55"/>
        <v/>
      </c>
      <c r="AW90" s="545" t="str">
        <f t="shared" si="56"/>
        <v/>
      </c>
      <c r="AX90" s="545" t="str">
        <f t="shared" si="41"/>
        <v>入力済</v>
      </c>
      <c r="AY90" s="547" t="str">
        <f>IFERROR(VLOOKUP(K90,【参考】数式用!$AR$3:$AS$49, 2, FALSE), "")</f>
        <v/>
      </c>
      <c r="AZ90" s="545" t="str">
        <f t="shared" si="57"/>
        <v/>
      </c>
      <c r="BA90" s="548" t="str">
        <f t="shared" si="58"/>
        <v>入力済</v>
      </c>
      <c r="BB90" s="547" t="str">
        <f>IFERROR(VLOOKUP(K90,【参考】数式用!$AX$3:$AY$56, 2, FALSE), "")</f>
        <v/>
      </c>
      <c r="BC90" s="545" t="str">
        <f t="shared" si="42"/>
        <v/>
      </c>
      <c r="BD90" s="548" t="str">
        <f t="shared" si="37"/>
        <v>入力済</v>
      </c>
      <c r="BE90" s="548" t="str">
        <f t="shared" si="43"/>
        <v/>
      </c>
      <c r="BF90" s="548" t="str">
        <f t="shared" si="44"/>
        <v/>
      </c>
      <c r="BG90" s="548" t="str">
        <f t="shared" si="45"/>
        <v/>
      </c>
      <c r="BH90" s="548" t="str">
        <f t="shared" si="46"/>
        <v/>
      </c>
      <c r="BI90" s="548" t="str">
        <f t="shared" si="59"/>
        <v/>
      </c>
      <c r="BM90" s="634" t="e">
        <f>VLOOKUP(K90,【参考】数式用!$A$2:$O$57,15,FALSE)</f>
        <v>#N/A</v>
      </c>
    </row>
    <row r="91" spans="1:65" ht="109.9" customHeight="1" thickBot="1">
      <c r="A91" s="454">
        <v>80</v>
      </c>
      <c r="B91" s="933" t="str">
        <f>IF(基本情報入力シート!B119="","",基本情報入力シート!B119)</f>
        <v/>
      </c>
      <c r="C91" s="934"/>
      <c r="D91" s="934"/>
      <c r="E91" s="934"/>
      <c r="F91" s="935"/>
      <c r="G91" s="455" t="str">
        <f>IF(基本情報入力シート!L119="", "", 基本情報入力シート!L119)</f>
        <v/>
      </c>
      <c r="H91" s="455" t="str">
        <f>IF(基本情報入力シート!Q119="", "", 基本情報入力シート!Q119)</f>
        <v/>
      </c>
      <c r="I91" s="455" t="str">
        <f>IF(基本情報入力シート!V119="", "", 基本情報入力シート!V119)</f>
        <v/>
      </c>
      <c r="J91" s="455" t="str">
        <f>IF(基本情報入力シート!W119="", "", 基本情報入力シート!W119)</f>
        <v/>
      </c>
      <c r="K91" s="455" t="str">
        <f>IF(基本情報入力シート!Z119="", "", 基本情報入力シート!Z119)</f>
        <v/>
      </c>
      <c r="L91" s="101" t="str">
        <f>IF(基本情報入力シート!AF119=0, "",基本情報入力シート!AF119)</f>
        <v/>
      </c>
      <c r="M91" s="142" t="str">
        <f>IF(AND(基本情報入力シート!AG119="",基本情報入力シート!AG119=""), "", 基本情報入力シート!AG119)</f>
        <v/>
      </c>
      <c r="N91" s="136"/>
      <c r="O91" s="155" t="str">
        <f>IFERROR(VLOOKUP(K91,【参考】数式用!$A$2:$M$57,MATCH(N91,【参考】数式用!$G$3:$M$3,0)+6,0),"")</f>
        <v/>
      </c>
      <c r="P91" s="456" t="s">
        <v>180</v>
      </c>
      <c r="Q91" s="141"/>
      <c r="R91" s="457" t="s">
        <v>271</v>
      </c>
      <c r="S91" s="141"/>
      <c r="T91" s="457" t="s">
        <v>272</v>
      </c>
      <c r="U91" s="141"/>
      <c r="V91" s="457" t="s">
        <v>271</v>
      </c>
      <c r="W91" s="141"/>
      <c r="X91" s="457" t="s">
        <v>273</v>
      </c>
      <c r="Y91" s="457" t="s">
        <v>274</v>
      </c>
      <c r="Z91" s="457" t="str">
        <f t="shared" si="38"/>
        <v/>
      </c>
      <c r="AA91" s="458" t="s">
        <v>275</v>
      </c>
      <c r="AB91" s="459" t="str">
        <f t="shared" si="39"/>
        <v/>
      </c>
      <c r="AC91" s="460" t="str">
        <f>IFERROR(ROUNDDOWN(ROUNDDOWN(ROUND(L91*VLOOKUP(K91,【参考】数式用!$A$2:$M$57,MATCH("処遇改善加算Ⅳ",【参考】数式用!$G$3:$M$3,0)+6,0),0)*M91,0)*Z91*0.5,0), "")</f>
        <v/>
      </c>
      <c r="AD91" s="156"/>
      <c r="AE91" s="157"/>
      <c r="AF91" s="157"/>
      <c r="AG91" s="158"/>
      <c r="AH91" s="159"/>
      <c r="AI91" s="160"/>
      <c r="AJ91" s="161"/>
      <c r="AK91" s="542" t="str">
        <f t="shared" si="47"/>
        <v/>
      </c>
      <c r="AL91" s="543" t="str">
        <f t="shared" si="40"/>
        <v/>
      </c>
      <c r="AM91" s="544"/>
      <c r="AN91" s="545" t="str">
        <f>IFERROR(VLOOKUP(K91,【参考】数式用!$A$2:$N$57,14,FALSE),"")</f>
        <v/>
      </c>
      <c r="AO91" s="545" t="str">
        <f t="shared" si="48"/>
        <v/>
      </c>
      <c r="AP91" s="546" t="str">
        <f t="shared" si="49"/>
        <v/>
      </c>
      <c r="AQ91" s="546" t="str">
        <f t="shared" si="50"/>
        <v>キャリアパス要件Ⅰ・Ⅱ_</v>
      </c>
      <c r="AR91" s="547" t="str">
        <f t="shared" si="51"/>
        <v>入力済</v>
      </c>
      <c r="AS91" s="545" t="str">
        <f t="shared" si="52"/>
        <v/>
      </c>
      <c r="AT91" s="547" t="str">
        <f t="shared" si="53"/>
        <v>入力済</v>
      </c>
      <c r="AU91" s="547" t="str">
        <f t="shared" si="54"/>
        <v/>
      </c>
      <c r="AV91" s="547" t="str">
        <f t="shared" si="55"/>
        <v/>
      </c>
      <c r="AW91" s="545" t="str">
        <f t="shared" si="56"/>
        <v/>
      </c>
      <c r="AX91" s="545" t="str">
        <f t="shared" si="41"/>
        <v>入力済</v>
      </c>
      <c r="AY91" s="547" t="str">
        <f>IFERROR(VLOOKUP(K91,【参考】数式用!$AR$3:$AS$49, 2, FALSE), "")</f>
        <v/>
      </c>
      <c r="AZ91" s="545" t="str">
        <f t="shared" si="57"/>
        <v/>
      </c>
      <c r="BA91" s="548" t="str">
        <f t="shared" si="58"/>
        <v>入力済</v>
      </c>
      <c r="BB91" s="547" t="str">
        <f>IFERROR(VLOOKUP(K91,【参考】数式用!$AX$3:$AY$56, 2, FALSE), "")</f>
        <v/>
      </c>
      <c r="BC91" s="545" t="str">
        <f t="shared" si="42"/>
        <v/>
      </c>
      <c r="BD91" s="548" t="str">
        <f t="shared" si="37"/>
        <v>入力済</v>
      </c>
      <c r="BE91" s="548" t="str">
        <f t="shared" si="43"/>
        <v/>
      </c>
      <c r="BF91" s="548" t="str">
        <f t="shared" si="44"/>
        <v/>
      </c>
      <c r="BG91" s="548" t="str">
        <f t="shared" si="45"/>
        <v/>
      </c>
      <c r="BH91" s="548" t="str">
        <f t="shared" si="46"/>
        <v/>
      </c>
      <c r="BI91" s="548" t="str">
        <f t="shared" si="59"/>
        <v/>
      </c>
      <c r="BM91" s="634" t="e">
        <f>VLOOKUP(K91,【参考】数式用!$A$2:$O$57,15,FALSE)</f>
        <v>#N/A</v>
      </c>
    </row>
    <row r="92" spans="1:65" ht="109.9" customHeight="1" thickBot="1">
      <c r="A92" s="454">
        <v>81</v>
      </c>
      <c r="B92" s="933" t="str">
        <f>IF(基本情報入力シート!B120="","",基本情報入力シート!B120)</f>
        <v/>
      </c>
      <c r="C92" s="934"/>
      <c r="D92" s="934"/>
      <c r="E92" s="934"/>
      <c r="F92" s="935"/>
      <c r="G92" s="455" t="str">
        <f>IF(基本情報入力シート!L120="", "", 基本情報入力シート!L120)</f>
        <v/>
      </c>
      <c r="H92" s="455" t="str">
        <f>IF(基本情報入力シート!Q120="", "", 基本情報入力シート!Q120)</f>
        <v/>
      </c>
      <c r="I92" s="455" t="str">
        <f>IF(基本情報入力シート!V120="", "", 基本情報入力シート!V120)</f>
        <v/>
      </c>
      <c r="J92" s="455" t="str">
        <f>IF(基本情報入力シート!W120="", "", 基本情報入力シート!W120)</f>
        <v/>
      </c>
      <c r="K92" s="455" t="str">
        <f>IF(基本情報入力シート!Z120="", "", 基本情報入力シート!Z120)</f>
        <v/>
      </c>
      <c r="L92" s="101" t="str">
        <f>IF(基本情報入力シート!AF120=0, "",基本情報入力シート!AF120)</f>
        <v/>
      </c>
      <c r="M92" s="142" t="str">
        <f>IF(AND(基本情報入力シート!AG120="",基本情報入力シート!AG120=""), "", 基本情報入力シート!AG120)</f>
        <v/>
      </c>
      <c r="N92" s="136"/>
      <c r="O92" s="155" t="str">
        <f>IFERROR(VLOOKUP(K92,【参考】数式用!$A$2:$M$57,MATCH(N92,【参考】数式用!$G$3:$M$3,0)+6,0),"")</f>
        <v/>
      </c>
      <c r="P92" s="456" t="s">
        <v>180</v>
      </c>
      <c r="Q92" s="141"/>
      <c r="R92" s="457" t="s">
        <v>271</v>
      </c>
      <c r="S92" s="141"/>
      <c r="T92" s="457" t="s">
        <v>272</v>
      </c>
      <c r="U92" s="141"/>
      <c r="V92" s="457" t="s">
        <v>271</v>
      </c>
      <c r="W92" s="141"/>
      <c r="X92" s="457" t="s">
        <v>273</v>
      </c>
      <c r="Y92" s="457" t="s">
        <v>274</v>
      </c>
      <c r="Z92" s="457" t="str">
        <f t="shared" si="38"/>
        <v/>
      </c>
      <c r="AA92" s="458" t="s">
        <v>275</v>
      </c>
      <c r="AB92" s="459" t="str">
        <f t="shared" si="39"/>
        <v/>
      </c>
      <c r="AC92" s="460" t="str">
        <f>IFERROR(ROUNDDOWN(ROUNDDOWN(ROUND(L92*VLOOKUP(K92,【参考】数式用!$A$2:$M$57,MATCH("処遇改善加算Ⅳ",【参考】数式用!$G$3:$M$3,0)+6,0),0)*M92,0)*Z92*0.5,0), "")</f>
        <v/>
      </c>
      <c r="AD92" s="156"/>
      <c r="AE92" s="157"/>
      <c r="AF92" s="157"/>
      <c r="AG92" s="158"/>
      <c r="AH92" s="159"/>
      <c r="AI92" s="160"/>
      <c r="AJ92" s="161"/>
      <c r="AK92" s="542" t="str">
        <f t="shared" si="47"/>
        <v/>
      </c>
      <c r="AL92" s="543" t="str">
        <f t="shared" si="40"/>
        <v/>
      </c>
      <c r="AM92" s="544"/>
      <c r="AN92" s="545" t="str">
        <f>IFERROR(VLOOKUP(K92,【参考】数式用!$A$2:$N$57,14,FALSE),"")</f>
        <v/>
      </c>
      <c r="AO92" s="545" t="str">
        <f t="shared" si="48"/>
        <v/>
      </c>
      <c r="AP92" s="546" t="str">
        <f t="shared" si="49"/>
        <v/>
      </c>
      <c r="AQ92" s="546" t="str">
        <f t="shared" si="50"/>
        <v>キャリアパス要件Ⅰ・Ⅱ_</v>
      </c>
      <c r="AR92" s="547" t="str">
        <f t="shared" si="51"/>
        <v>入力済</v>
      </c>
      <c r="AS92" s="545" t="str">
        <f t="shared" si="52"/>
        <v/>
      </c>
      <c r="AT92" s="547" t="str">
        <f t="shared" si="53"/>
        <v>入力済</v>
      </c>
      <c r="AU92" s="547" t="str">
        <f t="shared" si="54"/>
        <v/>
      </c>
      <c r="AV92" s="547" t="str">
        <f t="shared" si="55"/>
        <v/>
      </c>
      <c r="AW92" s="545" t="str">
        <f t="shared" si="56"/>
        <v/>
      </c>
      <c r="AX92" s="545" t="str">
        <f t="shared" si="41"/>
        <v>入力済</v>
      </c>
      <c r="AY92" s="547" t="str">
        <f>IFERROR(VLOOKUP(K92,【参考】数式用!$AR$3:$AS$49, 2, FALSE), "")</f>
        <v/>
      </c>
      <c r="AZ92" s="545" t="str">
        <f t="shared" si="57"/>
        <v/>
      </c>
      <c r="BA92" s="548" t="str">
        <f t="shared" si="58"/>
        <v>入力済</v>
      </c>
      <c r="BB92" s="547" t="str">
        <f>IFERROR(VLOOKUP(K92,【参考】数式用!$AX$3:$AY$56, 2, FALSE), "")</f>
        <v/>
      </c>
      <c r="BC92" s="545" t="str">
        <f t="shared" si="42"/>
        <v/>
      </c>
      <c r="BD92" s="548" t="str">
        <f t="shared" si="37"/>
        <v>入力済</v>
      </c>
      <c r="BE92" s="548" t="str">
        <f t="shared" si="43"/>
        <v/>
      </c>
      <c r="BF92" s="548" t="str">
        <f t="shared" si="44"/>
        <v/>
      </c>
      <c r="BG92" s="548" t="str">
        <f t="shared" si="45"/>
        <v/>
      </c>
      <c r="BH92" s="548" t="str">
        <f t="shared" si="46"/>
        <v/>
      </c>
      <c r="BI92" s="548" t="str">
        <f t="shared" si="59"/>
        <v/>
      </c>
      <c r="BM92" s="634" t="e">
        <f>VLOOKUP(K92,【参考】数式用!$A$2:$O$57,15,FALSE)</f>
        <v>#N/A</v>
      </c>
    </row>
    <row r="93" spans="1:65" ht="109.9" customHeight="1" thickBot="1">
      <c r="A93" s="454">
        <v>82</v>
      </c>
      <c r="B93" s="933" t="str">
        <f>IF(基本情報入力シート!B121="","",基本情報入力シート!B121)</f>
        <v/>
      </c>
      <c r="C93" s="934"/>
      <c r="D93" s="934"/>
      <c r="E93" s="934"/>
      <c r="F93" s="935"/>
      <c r="G93" s="455" t="str">
        <f>IF(基本情報入力シート!L121="", "", 基本情報入力シート!L121)</f>
        <v/>
      </c>
      <c r="H93" s="455" t="str">
        <f>IF(基本情報入力シート!Q121="", "", 基本情報入力シート!Q121)</f>
        <v/>
      </c>
      <c r="I93" s="455" t="str">
        <f>IF(基本情報入力シート!V121="", "", 基本情報入力シート!V121)</f>
        <v/>
      </c>
      <c r="J93" s="455" t="str">
        <f>IF(基本情報入力シート!W121="", "", 基本情報入力シート!W121)</f>
        <v/>
      </c>
      <c r="K93" s="455" t="str">
        <f>IF(基本情報入力シート!Z121="", "", 基本情報入力シート!Z121)</f>
        <v/>
      </c>
      <c r="L93" s="101" t="str">
        <f>IF(基本情報入力シート!AF121=0, "",基本情報入力シート!AF121)</f>
        <v/>
      </c>
      <c r="M93" s="142" t="str">
        <f>IF(AND(基本情報入力シート!AG121="",基本情報入力シート!AG121=""), "", 基本情報入力シート!AG121)</f>
        <v/>
      </c>
      <c r="N93" s="136"/>
      <c r="O93" s="155" t="str">
        <f>IFERROR(VLOOKUP(K93,【参考】数式用!$A$2:$M$57,MATCH(N93,【参考】数式用!$G$3:$M$3,0)+6,0),"")</f>
        <v/>
      </c>
      <c r="P93" s="456" t="s">
        <v>180</v>
      </c>
      <c r="Q93" s="141"/>
      <c r="R93" s="457" t="s">
        <v>271</v>
      </c>
      <c r="S93" s="141"/>
      <c r="T93" s="457" t="s">
        <v>272</v>
      </c>
      <c r="U93" s="141"/>
      <c r="V93" s="457" t="s">
        <v>271</v>
      </c>
      <c r="W93" s="141"/>
      <c r="X93" s="457" t="s">
        <v>182</v>
      </c>
      <c r="Y93" s="457" t="s">
        <v>274</v>
      </c>
      <c r="Z93" s="457" t="str">
        <f t="shared" si="38"/>
        <v/>
      </c>
      <c r="AA93" s="458" t="s">
        <v>275</v>
      </c>
      <c r="AB93" s="459" t="str">
        <f t="shared" si="39"/>
        <v/>
      </c>
      <c r="AC93" s="460" t="str">
        <f>IFERROR(ROUNDDOWN(ROUNDDOWN(ROUND(L93*VLOOKUP(K93,【参考】数式用!$A$2:$M$57,MATCH("処遇改善加算Ⅳ",【参考】数式用!$G$3:$M$3,0)+6,0),0)*M93,0)*Z93*0.5,0), "")</f>
        <v/>
      </c>
      <c r="AD93" s="156"/>
      <c r="AE93" s="157"/>
      <c r="AF93" s="157"/>
      <c r="AG93" s="158"/>
      <c r="AH93" s="159"/>
      <c r="AI93" s="160"/>
      <c r="AJ93" s="161"/>
      <c r="AK93" s="542" t="str">
        <f t="shared" si="47"/>
        <v/>
      </c>
      <c r="AL93" s="543" t="str">
        <f t="shared" si="40"/>
        <v/>
      </c>
      <c r="AM93" s="544"/>
      <c r="AN93" s="545" t="str">
        <f>IFERROR(VLOOKUP(K93,【参考】数式用!$A$2:$N$57,14,FALSE),"")</f>
        <v/>
      </c>
      <c r="AO93" s="545" t="str">
        <f t="shared" si="48"/>
        <v/>
      </c>
      <c r="AP93" s="546" t="str">
        <f t="shared" si="49"/>
        <v/>
      </c>
      <c r="AQ93" s="546" t="str">
        <f t="shared" si="50"/>
        <v>キャリアパス要件Ⅰ・Ⅱ_</v>
      </c>
      <c r="AR93" s="547" t="str">
        <f t="shared" si="51"/>
        <v>入力済</v>
      </c>
      <c r="AS93" s="545" t="str">
        <f t="shared" si="52"/>
        <v/>
      </c>
      <c r="AT93" s="547" t="str">
        <f t="shared" si="53"/>
        <v>入力済</v>
      </c>
      <c r="AU93" s="547" t="str">
        <f t="shared" si="54"/>
        <v/>
      </c>
      <c r="AV93" s="547" t="str">
        <f t="shared" si="55"/>
        <v/>
      </c>
      <c r="AW93" s="545" t="str">
        <f t="shared" si="56"/>
        <v/>
      </c>
      <c r="AX93" s="545" t="str">
        <f t="shared" si="41"/>
        <v>入力済</v>
      </c>
      <c r="AY93" s="547" t="str">
        <f>IFERROR(VLOOKUP(K93,【参考】数式用!$AR$3:$AS$49, 2, FALSE), "")</f>
        <v/>
      </c>
      <c r="AZ93" s="545" t="str">
        <f t="shared" si="57"/>
        <v/>
      </c>
      <c r="BA93" s="548" t="str">
        <f t="shared" si="58"/>
        <v>入力済</v>
      </c>
      <c r="BB93" s="547" t="str">
        <f>IFERROR(VLOOKUP(K93,【参考】数式用!$AX$3:$AY$56, 2, FALSE), "")</f>
        <v/>
      </c>
      <c r="BC93" s="545" t="str">
        <f t="shared" si="42"/>
        <v/>
      </c>
      <c r="BD93" s="548" t="str">
        <f t="shared" si="37"/>
        <v>入力済</v>
      </c>
      <c r="BE93" s="548" t="str">
        <f t="shared" si="43"/>
        <v/>
      </c>
      <c r="BF93" s="548" t="str">
        <f t="shared" si="44"/>
        <v/>
      </c>
      <c r="BG93" s="548" t="str">
        <f t="shared" si="45"/>
        <v/>
      </c>
      <c r="BH93" s="548" t="str">
        <f t="shared" si="46"/>
        <v/>
      </c>
      <c r="BI93" s="548" t="str">
        <f t="shared" si="59"/>
        <v/>
      </c>
      <c r="BM93" s="634" t="e">
        <f>VLOOKUP(K93,【参考】数式用!$A$2:$O$57,15,FALSE)</f>
        <v>#N/A</v>
      </c>
    </row>
    <row r="94" spans="1:65" ht="109.9" customHeight="1" thickBot="1">
      <c r="A94" s="454">
        <v>83</v>
      </c>
      <c r="B94" s="933" t="str">
        <f>IF(基本情報入力シート!B122="","",基本情報入力シート!B122)</f>
        <v/>
      </c>
      <c r="C94" s="934"/>
      <c r="D94" s="934"/>
      <c r="E94" s="934"/>
      <c r="F94" s="935"/>
      <c r="G94" s="455" t="str">
        <f>IF(基本情報入力シート!L122="", "", 基本情報入力シート!L122)</f>
        <v/>
      </c>
      <c r="H94" s="455" t="str">
        <f>IF(基本情報入力シート!Q122="", "", 基本情報入力シート!Q122)</f>
        <v/>
      </c>
      <c r="I94" s="455" t="str">
        <f>IF(基本情報入力シート!V122="", "", 基本情報入力シート!V122)</f>
        <v/>
      </c>
      <c r="J94" s="455" t="str">
        <f>IF(基本情報入力シート!W122="", "", 基本情報入力シート!W122)</f>
        <v/>
      </c>
      <c r="K94" s="455" t="str">
        <f>IF(基本情報入力シート!Z122="", "", 基本情報入力シート!Z122)</f>
        <v/>
      </c>
      <c r="L94" s="101" t="str">
        <f>IF(基本情報入力シート!AF122=0, "",基本情報入力シート!AF122)</f>
        <v/>
      </c>
      <c r="M94" s="142" t="str">
        <f>IF(AND(基本情報入力シート!AG122="",基本情報入力シート!AG122=""), "", 基本情報入力シート!AG122)</f>
        <v/>
      </c>
      <c r="N94" s="136"/>
      <c r="O94" s="155" t="str">
        <f>IFERROR(VLOOKUP(K94,【参考】数式用!$A$2:$M$57,MATCH(N94,【参考】数式用!$G$3:$M$3,0)+6,0),"")</f>
        <v/>
      </c>
      <c r="P94" s="456" t="s">
        <v>180</v>
      </c>
      <c r="Q94" s="141"/>
      <c r="R94" s="457" t="s">
        <v>271</v>
      </c>
      <c r="S94" s="141"/>
      <c r="T94" s="457" t="s">
        <v>272</v>
      </c>
      <c r="U94" s="141"/>
      <c r="V94" s="457" t="s">
        <v>271</v>
      </c>
      <c r="W94" s="141"/>
      <c r="X94" s="457" t="s">
        <v>273</v>
      </c>
      <c r="Y94" s="457" t="s">
        <v>274</v>
      </c>
      <c r="Z94" s="457" t="str">
        <f t="shared" si="38"/>
        <v/>
      </c>
      <c r="AA94" s="458" t="s">
        <v>275</v>
      </c>
      <c r="AB94" s="459" t="str">
        <f t="shared" si="39"/>
        <v/>
      </c>
      <c r="AC94" s="460" t="str">
        <f>IFERROR(ROUNDDOWN(ROUNDDOWN(ROUND(L94*VLOOKUP(K94,【参考】数式用!$A$2:$M$57,MATCH("処遇改善加算Ⅳ",【参考】数式用!$G$3:$M$3,0)+6,0),0)*M94,0)*Z94*0.5,0), "")</f>
        <v/>
      </c>
      <c r="AD94" s="156"/>
      <c r="AE94" s="157"/>
      <c r="AF94" s="157"/>
      <c r="AG94" s="158"/>
      <c r="AH94" s="159"/>
      <c r="AI94" s="160"/>
      <c r="AJ94" s="161"/>
      <c r="AK94" s="542" t="str">
        <f t="shared" si="47"/>
        <v/>
      </c>
      <c r="AL94" s="543" t="str">
        <f t="shared" si="40"/>
        <v/>
      </c>
      <c r="AM94" s="544"/>
      <c r="AN94" s="545" t="str">
        <f>IFERROR(VLOOKUP(K94,【参考】数式用!$A$2:$N$57,14,FALSE),"")</f>
        <v/>
      </c>
      <c r="AO94" s="545" t="str">
        <f t="shared" si="48"/>
        <v/>
      </c>
      <c r="AP94" s="546" t="str">
        <f t="shared" si="49"/>
        <v/>
      </c>
      <c r="AQ94" s="546" t="str">
        <f t="shared" si="50"/>
        <v>キャリアパス要件Ⅰ・Ⅱ_</v>
      </c>
      <c r="AR94" s="547" t="str">
        <f t="shared" si="51"/>
        <v>入力済</v>
      </c>
      <c r="AS94" s="545" t="str">
        <f t="shared" si="52"/>
        <v/>
      </c>
      <c r="AT94" s="547" t="str">
        <f t="shared" si="53"/>
        <v>入力済</v>
      </c>
      <c r="AU94" s="547" t="str">
        <f t="shared" si="54"/>
        <v/>
      </c>
      <c r="AV94" s="547" t="str">
        <f t="shared" si="55"/>
        <v/>
      </c>
      <c r="AW94" s="545" t="str">
        <f t="shared" si="56"/>
        <v/>
      </c>
      <c r="AX94" s="545" t="str">
        <f t="shared" si="41"/>
        <v>入力済</v>
      </c>
      <c r="AY94" s="547" t="str">
        <f>IFERROR(VLOOKUP(K94,【参考】数式用!$AR$3:$AS$49, 2, FALSE), "")</f>
        <v/>
      </c>
      <c r="AZ94" s="545" t="str">
        <f t="shared" si="57"/>
        <v/>
      </c>
      <c r="BA94" s="548" t="str">
        <f t="shared" si="58"/>
        <v>入力済</v>
      </c>
      <c r="BB94" s="547" t="str">
        <f>IFERROR(VLOOKUP(K94,【参考】数式用!$AX$3:$AY$56, 2, FALSE), "")</f>
        <v/>
      </c>
      <c r="BC94" s="545" t="str">
        <f t="shared" si="42"/>
        <v/>
      </c>
      <c r="BD94" s="548" t="str">
        <f t="shared" si="37"/>
        <v>入力済</v>
      </c>
      <c r="BE94" s="548" t="str">
        <f t="shared" si="43"/>
        <v/>
      </c>
      <c r="BF94" s="548" t="str">
        <f t="shared" si="44"/>
        <v/>
      </c>
      <c r="BG94" s="548" t="str">
        <f t="shared" si="45"/>
        <v/>
      </c>
      <c r="BH94" s="548" t="str">
        <f t="shared" si="46"/>
        <v/>
      </c>
      <c r="BI94" s="548" t="str">
        <f t="shared" si="59"/>
        <v/>
      </c>
      <c r="BM94" s="634" t="e">
        <f>VLOOKUP(K94,【参考】数式用!$A$2:$O$57,15,FALSE)</f>
        <v>#N/A</v>
      </c>
    </row>
    <row r="95" spans="1:65" ht="109.9" customHeight="1" thickBot="1">
      <c r="A95" s="454">
        <v>84</v>
      </c>
      <c r="B95" s="933" t="str">
        <f>IF(基本情報入力シート!B123="","",基本情報入力シート!B123)</f>
        <v/>
      </c>
      <c r="C95" s="934"/>
      <c r="D95" s="934"/>
      <c r="E95" s="934"/>
      <c r="F95" s="935"/>
      <c r="G95" s="455" t="str">
        <f>IF(基本情報入力シート!L123="", "", 基本情報入力シート!L123)</f>
        <v/>
      </c>
      <c r="H95" s="455" t="str">
        <f>IF(基本情報入力シート!Q123="", "", 基本情報入力シート!Q123)</f>
        <v/>
      </c>
      <c r="I95" s="455" t="str">
        <f>IF(基本情報入力シート!V123="", "", 基本情報入力シート!V123)</f>
        <v/>
      </c>
      <c r="J95" s="455" t="str">
        <f>IF(基本情報入力シート!W123="", "", 基本情報入力シート!W123)</f>
        <v/>
      </c>
      <c r="K95" s="455" t="str">
        <f>IF(基本情報入力シート!Z123="", "", 基本情報入力シート!Z123)</f>
        <v/>
      </c>
      <c r="L95" s="101" t="str">
        <f>IF(基本情報入力シート!AF123=0, "",基本情報入力シート!AF123)</f>
        <v/>
      </c>
      <c r="M95" s="142" t="str">
        <f>IF(AND(基本情報入力シート!AG123="",基本情報入力シート!AG123=""), "", 基本情報入力シート!AG123)</f>
        <v/>
      </c>
      <c r="N95" s="136"/>
      <c r="O95" s="155" t="str">
        <f>IFERROR(VLOOKUP(K95,【参考】数式用!$A$2:$M$57,MATCH(N95,【参考】数式用!$G$3:$M$3,0)+6,0),"")</f>
        <v/>
      </c>
      <c r="P95" s="456" t="s">
        <v>180</v>
      </c>
      <c r="Q95" s="141"/>
      <c r="R95" s="457" t="s">
        <v>271</v>
      </c>
      <c r="S95" s="141"/>
      <c r="T95" s="457" t="s">
        <v>272</v>
      </c>
      <c r="U95" s="141"/>
      <c r="V95" s="457" t="s">
        <v>271</v>
      </c>
      <c r="W95" s="141"/>
      <c r="X95" s="457" t="s">
        <v>273</v>
      </c>
      <c r="Y95" s="457" t="s">
        <v>274</v>
      </c>
      <c r="Z95" s="457" t="str">
        <f t="shared" si="38"/>
        <v/>
      </c>
      <c r="AA95" s="458" t="s">
        <v>275</v>
      </c>
      <c r="AB95" s="459" t="str">
        <f t="shared" si="39"/>
        <v/>
      </c>
      <c r="AC95" s="460" t="str">
        <f>IFERROR(ROUNDDOWN(ROUNDDOWN(ROUND(L95*VLOOKUP(K95,【参考】数式用!$A$2:$M$57,MATCH("処遇改善加算Ⅳ",【参考】数式用!$G$3:$M$3,0)+6,0),0)*M95,0)*Z95*0.5,0), "")</f>
        <v/>
      </c>
      <c r="AD95" s="156"/>
      <c r="AE95" s="157"/>
      <c r="AF95" s="157"/>
      <c r="AG95" s="158"/>
      <c r="AH95" s="159"/>
      <c r="AI95" s="160"/>
      <c r="AJ95" s="161"/>
      <c r="AK95" s="542" t="str">
        <f t="shared" si="47"/>
        <v/>
      </c>
      <c r="AL95" s="543" t="str">
        <f t="shared" si="40"/>
        <v/>
      </c>
      <c r="AM95" s="544"/>
      <c r="AN95" s="545" t="str">
        <f>IFERROR(VLOOKUP(K95,【参考】数式用!$A$2:$N$57,14,FALSE),"")</f>
        <v/>
      </c>
      <c r="AO95" s="545" t="str">
        <f t="shared" si="48"/>
        <v/>
      </c>
      <c r="AP95" s="546" t="str">
        <f t="shared" si="49"/>
        <v/>
      </c>
      <c r="AQ95" s="546" t="str">
        <f t="shared" si="50"/>
        <v>キャリアパス要件Ⅰ・Ⅱ_</v>
      </c>
      <c r="AR95" s="547" t="str">
        <f t="shared" si="51"/>
        <v>入力済</v>
      </c>
      <c r="AS95" s="545" t="str">
        <f t="shared" si="52"/>
        <v/>
      </c>
      <c r="AT95" s="547" t="str">
        <f t="shared" si="53"/>
        <v>入力済</v>
      </c>
      <c r="AU95" s="547" t="str">
        <f t="shared" si="54"/>
        <v/>
      </c>
      <c r="AV95" s="547" t="str">
        <f t="shared" si="55"/>
        <v/>
      </c>
      <c r="AW95" s="545" t="str">
        <f t="shared" si="56"/>
        <v/>
      </c>
      <c r="AX95" s="545" t="str">
        <f t="shared" si="41"/>
        <v>入力済</v>
      </c>
      <c r="AY95" s="547" t="str">
        <f>IFERROR(VLOOKUP(K95,【参考】数式用!$AR$3:$AS$49, 2, FALSE), "")</f>
        <v/>
      </c>
      <c r="AZ95" s="545" t="str">
        <f t="shared" si="57"/>
        <v/>
      </c>
      <c r="BA95" s="548" t="str">
        <f t="shared" si="58"/>
        <v>入力済</v>
      </c>
      <c r="BB95" s="547" t="str">
        <f>IFERROR(VLOOKUP(K95,【参考】数式用!$AX$3:$AY$56, 2, FALSE), "")</f>
        <v/>
      </c>
      <c r="BC95" s="545" t="str">
        <f t="shared" si="42"/>
        <v/>
      </c>
      <c r="BD95" s="548" t="str">
        <f t="shared" si="37"/>
        <v>入力済</v>
      </c>
      <c r="BE95" s="548" t="str">
        <f t="shared" si="43"/>
        <v/>
      </c>
      <c r="BF95" s="548" t="str">
        <f t="shared" si="44"/>
        <v/>
      </c>
      <c r="BG95" s="548" t="str">
        <f t="shared" si="45"/>
        <v/>
      </c>
      <c r="BH95" s="548" t="str">
        <f t="shared" si="46"/>
        <v/>
      </c>
      <c r="BI95" s="548" t="str">
        <f t="shared" si="59"/>
        <v/>
      </c>
      <c r="BM95" s="634" t="e">
        <f>VLOOKUP(K95,【参考】数式用!$A$2:$O$57,15,FALSE)</f>
        <v>#N/A</v>
      </c>
    </row>
    <row r="96" spans="1:65" ht="109.9" customHeight="1" thickBot="1">
      <c r="A96" s="454">
        <v>85</v>
      </c>
      <c r="B96" s="933" t="str">
        <f>IF(基本情報入力シート!B124="","",基本情報入力シート!B124)</f>
        <v/>
      </c>
      <c r="C96" s="934"/>
      <c r="D96" s="934"/>
      <c r="E96" s="934"/>
      <c r="F96" s="935"/>
      <c r="G96" s="455" t="str">
        <f>IF(基本情報入力シート!L124="", "", 基本情報入力シート!L124)</f>
        <v/>
      </c>
      <c r="H96" s="455" t="str">
        <f>IF(基本情報入力シート!Q124="", "", 基本情報入力シート!Q124)</f>
        <v/>
      </c>
      <c r="I96" s="455" t="str">
        <f>IF(基本情報入力シート!V124="", "", 基本情報入力シート!V124)</f>
        <v/>
      </c>
      <c r="J96" s="455" t="str">
        <f>IF(基本情報入力シート!W124="", "", 基本情報入力シート!W124)</f>
        <v/>
      </c>
      <c r="K96" s="455" t="str">
        <f>IF(基本情報入力シート!Z124="", "", 基本情報入力シート!Z124)</f>
        <v/>
      </c>
      <c r="L96" s="101" t="str">
        <f>IF(基本情報入力シート!AF124=0, "",基本情報入力シート!AF124)</f>
        <v/>
      </c>
      <c r="M96" s="142" t="str">
        <f>IF(AND(基本情報入力シート!AG124="",基本情報入力シート!AG124=""), "", 基本情報入力シート!AG124)</f>
        <v/>
      </c>
      <c r="N96" s="136"/>
      <c r="O96" s="155" t="str">
        <f>IFERROR(VLOOKUP(K96,【参考】数式用!$A$2:$M$57,MATCH(N96,【参考】数式用!$G$3:$M$3,0)+6,0),"")</f>
        <v/>
      </c>
      <c r="P96" s="456" t="s">
        <v>180</v>
      </c>
      <c r="Q96" s="141"/>
      <c r="R96" s="457" t="s">
        <v>271</v>
      </c>
      <c r="S96" s="141"/>
      <c r="T96" s="457" t="s">
        <v>272</v>
      </c>
      <c r="U96" s="141"/>
      <c r="V96" s="457" t="s">
        <v>271</v>
      </c>
      <c r="W96" s="141"/>
      <c r="X96" s="457" t="s">
        <v>273</v>
      </c>
      <c r="Y96" s="457" t="s">
        <v>274</v>
      </c>
      <c r="Z96" s="457" t="str">
        <f t="shared" si="38"/>
        <v/>
      </c>
      <c r="AA96" s="458" t="s">
        <v>275</v>
      </c>
      <c r="AB96" s="459" t="str">
        <f t="shared" si="39"/>
        <v/>
      </c>
      <c r="AC96" s="460" t="str">
        <f>IFERROR(ROUNDDOWN(ROUNDDOWN(ROUND(L96*VLOOKUP(K96,【参考】数式用!$A$2:$M$57,MATCH("処遇改善加算Ⅳ",【参考】数式用!$G$3:$M$3,0)+6,0),0)*M96,0)*Z96*0.5,0), "")</f>
        <v/>
      </c>
      <c r="AD96" s="156"/>
      <c r="AE96" s="157"/>
      <c r="AF96" s="157"/>
      <c r="AG96" s="158"/>
      <c r="AH96" s="159"/>
      <c r="AI96" s="160"/>
      <c r="AJ96" s="161"/>
      <c r="AK96" s="542" t="str">
        <f t="shared" si="47"/>
        <v/>
      </c>
      <c r="AL96" s="543" t="str">
        <f t="shared" si="40"/>
        <v/>
      </c>
      <c r="AM96" s="544"/>
      <c r="AN96" s="545" t="str">
        <f>IFERROR(VLOOKUP(K96,【参考】数式用!$A$2:$N$57,14,FALSE),"")</f>
        <v/>
      </c>
      <c r="AO96" s="545" t="str">
        <f t="shared" si="48"/>
        <v/>
      </c>
      <c r="AP96" s="546" t="str">
        <f t="shared" si="49"/>
        <v/>
      </c>
      <c r="AQ96" s="546" t="str">
        <f t="shared" si="50"/>
        <v>キャリアパス要件Ⅰ・Ⅱ_</v>
      </c>
      <c r="AR96" s="547" t="str">
        <f t="shared" si="51"/>
        <v>入力済</v>
      </c>
      <c r="AS96" s="545" t="str">
        <f t="shared" si="52"/>
        <v/>
      </c>
      <c r="AT96" s="547" t="str">
        <f t="shared" si="53"/>
        <v>入力済</v>
      </c>
      <c r="AU96" s="547" t="str">
        <f t="shared" si="54"/>
        <v/>
      </c>
      <c r="AV96" s="547" t="str">
        <f t="shared" si="55"/>
        <v/>
      </c>
      <c r="AW96" s="545" t="str">
        <f t="shared" si="56"/>
        <v/>
      </c>
      <c r="AX96" s="545" t="str">
        <f t="shared" si="41"/>
        <v>入力済</v>
      </c>
      <c r="AY96" s="547" t="str">
        <f>IFERROR(VLOOKUP(K96,【参考】数式用!$AR$3:$AS$49, 2, FALSE), "")</f>
        <v/>
      </c>
      <c r="AZ96" s="545" t="str">
        <f t="shared" si="57"/>
        <v/>
      </c>
      <c r="BA96" s="548" t="str">
        <f t="shared" si="58"/>
        <v>入力済</v>
      </c>
      <c r="BB96" s="547" t="str">
        <f>IFERROR(VLOOKUP(K96,【参考】数式用!$AX$3:$AY$56, 2, FALSE), "")</f>
        <v/>
      </c>
      <c r="BC96" s="545" t="str">
        <f t="shared" si="42"/>
        <v/>
      </c>
      <c r="BD96" s="548" t="str">
        <f t="shared" si="37"/>
        <v>入力済</v>
      </c>
      <c r="BE96" s="548" t="str">
        <f t="shared" si="43"/>
        <v/>
      </c>
      <c r="BF96" s="548" t="str">
        <f t="shared" si="44"/>
        <v/>
      </c>
      <c r="BG96" s="548" t="str">
        <f t="shared" si="45"/>
        <v/>
      </c>
      <c r="BH96" s="548" t="str">
        <f t="shared" si="46"/>
        <v/>
      </c>
      <c r="BI96" s="548" t="str">
        <f t="shared" si="59"/>
        <v/>
      </c>
      <c r="BM96" s="634" t="e">
        <f>VLOOKUP(K96,【参考】数式用!$A$2:$O$57,15,FALSE)</f>
        <v>#N/A</v>
      </c>
    </row>
    <row r="97" spans="1:65" ht="109.9" customHeight="1" thickBot="1">
      <c r="A97" s="454">
        <v>86</v>
      </c>
      <c r="B97" s="933" t="str">
        <f>IF(基本情報入力シート!B125="","",基本情報入力シート!B125)</f>
        <v/>
      </c>
      <c r="C97" s="934"/>
      <c r="D97" s="934"/>
      <c r="E97" s="934"/>
      <c r="F97" s="935"/>
      <c r="G97" s="455" t="str">
        <f>IF(基本情報入力シート!L125="", "", 基本情報入力シート!L125)</f>
        <v/>
      </c>
      <c r="H97" s="455" t="str">
        <f>IF(基本情報入力シート!Q125="", "", 基本情報入力シート!Q125)</f>
        <v/>
      </c>
      <c r="I97" s="455" t="str">
        <f>IF(基本情報入力シート!V125="", "", 基本情報入力シート!V125)</f>
        <v/>
      </c>
      <c r="J97" s="455" t="str">
        <f>IF(基本情報入力シート!W125="", "", 基本情報入力シート!W125)</f>
        <v/>
      </c>
      <c r="K97" s="455" t="str">
        <f>IF(基本情報入力シート!Z125="", "", 基本情報入力シート!Z125)</f>
        <v/>
      </c>
      <c r="L97" s="101" t="str">
        <f>IF(基本情報入力シート!AF125=0, "",基本情報入力シート!AF125)</f>
        <v/>
      </c>
      <c r="M97" s="142" t="str">
        <f>IF(AND(基本情報入力シート!AG125="",基本情報入力シート!AG125=""), "", 基本情報入力シート!AG125)</f>
        <v/>
      </c>
      <c r="N97" s="136"/>
      <c r="O97" s="155" t="str">
        <f>IFERROR(VLOOKUP(K97,【参考】数式用!$A$2:$M$57,MATCH(N97,【参考】数式用!$G$3:$M$3,0)+6,0),"")</f>
        <v/>
      </c>
      <c r="P97" s="456" t="s">
        <v>180</v>
      </c>
      <c r="Q97" s="141"/>
      <c r="R97" s="457" t="s">
        <v>271</v>
      </c>
      <c r="S97" s="141"/>
      <c r="T97" s="457" t="s">
        <v>272</v>
      </c>
      <c r="U97" s="141"/>
      <c r="V97" s="457" t="s">
        <v>271</v>
      </c>
      <c r="W97" s="141"/>
      <c r="X97" s="457" t="s">
        <v>182</v>
      </c>
      <c r="Y97" s="457" t="s">
        <v>274</v>
      </c>
      <c r="Z97" s="457" t="str">
        <f t="shared" si="38"/>
        <v/>
      </c>
      <c r="AA97" s="458" t="s">
        <v>275</v>
      </c>
      <c r="AB97" s="459" t="str">
        <f t="shared" si="39"/>
        <v/>
      </c>
      <c r="AC97" s="460" t="str">
        <f>IFERROR(ROUNDDOWN(ROUNDDOWN(ROUND(L97*VLOOKUP(K97,【参考】数式用!$A$2:$M$57,MATCH("処遇改善加算Ⅳ",【参考】数式用!$G$3:$M$3,0)+6,0),0)*M97,0)*Z97*0.5,0), "")</f>
        <v/>
      </c>
      <c r="AD97" s="156"/>
      <c r="AE97" s="157"/>
      <c r="AF97" s="157"/>
      <c r="AG97" s="158"/>
      <c r="AH97" s="159"/>
      <c r="AI97" s="160"/>
      <c r="AJ97" s="161"/>
      <c r="AK97" s="542" t="str">
        <f t="shared" si="47"/>
        <v/>
      </c>
      <c r="AL97" s="543" t="str">
        <f t="shared" si="40"/>
        <v/>
      </c>
      <c r="AM97" s="544"/>
      <c r="AN97" s="545" t="str">
        <f>IFERROR(VLOOKUP(K97,【参考】数式用!$A$2:$N$57,14,FALSE),"")</f>
        <v/>
      </c>
      <c r="AO97" s="545" t="str">
        <f t="shared" si="48"/>
        <v/>
      </c>
      <c r="AP97" s="546" t="str">
        <f t="shared" si="49"/>
        <v/>
      </c>
      <c r="AQ97" s="546" t="str">
        <f t="shared" si="50"/>
        <v>キャリアパス要件Ⅰ・Ⅱ_</v>
      </c>
      <c r="AR97" s="547" t="str">
        <f t="shared" si="51"/>
        <v>入力済</v>
      </c>
      <c r="AS97" s="545" t="str">
        <f t="shared" si="52"/>
        <v/>
      </c>
      <c r="AT97" s="547" t="str">
        <f t="shared" si="53"/>
        <v>入力済</v>
      </c>
      <c r="AU97" s="547" t="str">
        <f t="shared" si="54"/>
        <v/>
      </c>
      <c r="AV97" s="547" t="str">
        <f t="shared" si="55"/>
        <v/>
      </c>
      <c r="AW97" s="545" t="str">
        <f t="shared" si="56"/>
        <v/>
      </c>
      <c r="AX97" s="545" t="str">
        <f t="shared" si="41"/>
        <v>入力済</v>
      </c>
      <c r="AY97" s="547" t="str">
        <f>IFERROR(VLOOKUP(K97,【参考】数式用!$AR$3:$AS$49, 2, FALSE), "")</f>
        <v/>
      </c>
      <c r="AZ97" s="545" t="str">
        <f t="shared" si="57"/>
        <v/>
      </c>
      <c r="BA97" s="548" t="str">
        <f t="shared" si="58"/>
        <v>入力済</v>
      </c>
      <c r="BB97" s="547" t="str">
        <f>IFERROR(VLOOKUP(K97,【参考】数式用!$AX$3:$AY$56, 2, FALSE), "")</f>
        <v/>
      </c>
      <c r="BC97" s="545" t="str">
        <f t="shared" si="42"/>
        <v/>
      </c>
      <c r="BD97" s="548" t="str">
        <f t="shared" si="37"/>
        <v>入力済</v>
      </c>
      <c r="BE97" s="548" t="str">
        <f t="shared" si="43"/>
        <v/>
      </c>
      <c r="BF97" s="548" t="str">
        <f t="shared" si="44"/>
        <v/>
      </c>
      <c r="BG97" s="548" t="str">
        <f t="shared" si="45"/>
        <v/>
      </c>
      <c r="BH97" s="548" t="str">
        <f t="shared" si="46"/>
        <v/>
      </c>
      <c r="BI97" s="548" t="str">
        <f t="shared" si="59"/>
        <v/>
      </c>
      <c r="BM97" s="634" t="e">
        <f>VLOOKUP(K97,【参考】数式用!$A$2:$O$57,15,FALSE)</f>
        <v>#N/A</v>
      </c>
    </row>
    <row r="98" spans="1:65" ht="109.9" customHeight="1" thickBot="1">
      <c r="A98" s="454">
        <v>87</v>
      </c>
      <c r="B98" s="933" t="str">
        <f>IF(基本情報入力シート!B126="","",基本情報入力シート!B126)</f>
        <v/>
      </c>
      <c r="C98" s="934"/>
      <c r="D98" s="934"/>
      <c r="E98" s="934"/>
      <c r="F98" s="935"/>
      <c r="G98" s="455" t="str">
        <f>IF(基本情報入力シート!L126="", "", 基本情報入力シート!L126)</f>
        <v/>
      </c>
      <c r="H98" s="455" t="str">
        <f>IF(基本情報入力シート!Q126="", "", 基本情報入力シート!Q126)</f>
        <v/>
      </c>
      <c r="I98" s="455" t="str">
        <f>IF(基本情報入力シート!V126="", "", 基本情報入力シート!V126)</f>
        <v/>
      </c>
      <c r="J98" s="455" t="str">
        <f>IF(基本情報入力シート!W126="", "", 基本情報入力シート!W126)</f>
        <v/>
      </c>
      <c r="K98" s="455" t="str">
        <f>IF(基本情報入力シート!Z126="", "", 基本情報入力シート!Z126)</f>
        <v/>
      </c>
      <c r="L98" s="101" t="str">
        <f>IF(基本情報入力シート!AF126=0, "",基本情報入力シート!AF126)</f>
        <v/>
      </c>
      <c r="M98" s="142" t="str">
        <f>IF(AND(基本情報入力シート!AG126="",基本情報入力シート!AG126=""), "", 基本情報入力シート!AG126)</f>
        <v/>
      </c>
      <c r="N98" s="136"/>
      <c r="O98" s="155" t="str">
        <f>IFERROR(VLOOKUP(K98,【参考】数式用!$A$2:$M$57,MATCH(N98,【参考】数式用!$G$3:$M$3,0)+6,0),"")</f>
        <v/>
      </c>
      <c r="P98" s="456" t="s">
        <v>180</v>
      </c>
      <c r="Q98" s="141"/>
      <c r="R98" s="457" t="s">
        <v>271</v>
      </c>
      <c r="S98" s="141"/>
      <c r="T98" s="457" t="s">
        <v>272</v>
      </c>
      <c r="U98" s="141"/>
      <c r="V98" s="457" t="s">
        <v>271</v>
      </c>
      <c r="W98" s="141"/>
      <c r="X98" s="457" t="s">
        <v>182</v>
      </c>
      <c r="Y98" s="457" t="s">
        <v>274</v>
      </c>
      <c r="Z98" s="457" t="str">
        <f t="shared" si="38"/>
        <v/>
      </c>
      <c r="AA98" s="458" t="s">
        <v>275</v>
      </c>
      <c r="AB98" s="459" t="str">
        <f t="shared" si="39"/>
        <v/>
      </c>
      <c r="AC98" s="460" t="str">
        <f>IFERROR(ROUNDDOWN(ROUNDDOWN(ROUND(L98*VLOOKUP(K98,【参考】数式用!$A$2:$M$57,MATCH("処遇改善加算Ⅳ",【参考】数式用!$G$3:$M$3,0)+6,0),0)*M98,0)*Z98*0.5,0), "")</f>
        <v/>
      </c>
      <c r="AD98" s="156"/>
      <c r="AE98" s="157"/>
      <c r="AF98" s="157"/>
      <c r="AG98" s="158"/>
      <c r="AH98" s="159"/>
      <c r="AI98" s="160"/>
      <c r="AJ98" s="161"/>
      <c r="AK98" s="542" t="str">
        <f t="shared" si="47"/>
        <v/>
      </c>
      <c r="AL98" s="543" t="str">
        <f t="shared" si="40"/>
        <v/>
      </c>
      <c r="AM98" s="544"/>
      <c r="AN98" s="545" t="str">
        <f>IFERROR(VLOOKUP(K98,【参考】数式用!$A$2:$N$57,14,FALSE),"")</f>
        <v/>
      </c>
      <c r="AO98" s="545" t="str">
        <f t="shared" si="48"/>
        <v/>
      </c>
      <c r="AP98" s="546" t="str">
        <f t="shared" si="49"/>
        <v/>
      </c>
      <c r="AQ98" s="546" t="str">
        <f t="shared" si="50"/>
        <v>キャリアパス要件Ⅰ・Ⅱ_</v>
      </c>
      <c r="AR98" s="547" t="str">
        <f t="shared" si="51"/>
        <v>入力済</v>
      </c>
      <c r="AS98" s="545" t="str">
        <f t="shared" si="52"/>
        <v/>
      </c>
      <c r="AT98" s="547" t="str">
        <f t="shared" si="53"/>
        <v>入力済</v>
      </c>
      <c r="AU98" s="547" t="str">
        <f t="shared" si="54"/>
        <v/>
      </c>
      <c r="AV98" s="547" t="str">
        <f t="shared" si="55"/>
        <v/>
      </c>
      <c r="AW98" s="545" t="str">
        <f t="shared" si="56"/>
        <v/>
      </c>
      <c r="AX98" s="545" t="str">
        <f t="shared" si="41"/>
        <v>入力済</v>
      </c>
      <c r="AY98" s="547" t="str">
        <f>IFERROR(VLOOKUP(K98,【参考】数式用!$AR$3:$AS$49, 2, FALSE), "")</f>
        <v/>
      </c>
      <c r="AZ98" s="545" t="str">
        <f t="shared" si="57"/>
        <v/>
      </c>
      <c r="BA98" s="548" t="str">
        <f t="shared" si="58"/>
        <v>入力済</v>
      </c>
      <c r="BB98" s="547" t="str">
        <f>IFERROR(VLOOKUP(K98,【参考】数式用!$AX$3:$AY$56, 2, FALSE), "")</f>
        <v/>
      </c>
      <c r="BC98" s="545" t="str">
        <f t="shared" si="42"/>
        <v/>
      </c>
      <c r="BD98" s="548" t="str">
        <f t="shared" si="37"/>
        <v>入力済</v>
      </c>
      <c r="BE98" s="548" t="str">
        <f t="shared" si="43"/>
        <v/>
      </c>
      <c r="BF98" s="548" t="str">
        <f t="shared" si="44"/>
        <v/>
      </c>
      <c r="BG98" s="548" t="str">
        <f t="shared" si="45"/>
        <v/>
      </c>
      <c r="BH98" s="548" t="str">
        <f t="shared" si="46"/>
        <v/>
      </c>
      <c r="BI98" s="548" t="str">
        <f t="shared" si="59"/>
        <v/>
      </c>
      <c r="BM98" s="634" t="e">
        <f>VLOOKUP(K98,【参考】数式用!$A$2:$O$57,15,FALSE)</f>
        <v>#N/A</v>
      </c>
    </row>
    <row r="99" spans="1:65" ht="109.9" customHeight="1" thickBot="1">
      <c r="A99" s="454">
        <v>88</v>
      </c>
      <c r="B99" s="933" t="str">
        <f>IF(基本情報入力シート!B127="","",基本情報入力シート!B127)</f>
        <v/>
      </c>
      <c r="C99" s="934"/>
      <c r="D99" s="934"/>
      <c r="E99" s="934"/>
      <c r="F99" s="935"/>
      <c r="G99" s="455" t="str">
        <f>IF(基本情報入力シート!L127="", "", 基本情報入力シート!L127)</f>
        <v/>
      </c>
      <c r="H99" s="455" t="str">
        <f>IF(基本情報入力シート!Q127="", "", 基本情報入力シート!Q127)</f>
        <v/>
      </c>
      <c r="I99" s="455" t="str">
        <f>IF(基本情報入力シート!V127="", "", 基本情報入力シート!V127)</f>
        <v/>
      </c>
      <c r="J99" s="455" t="str">
        <f>IF(基本情報入力シート!W127="", "", 基本情報入力シート!W127)</f>
        <v/>
      </c>
      <c r="K99" s="455" t="str">
        <f>IF(基本情報入力シート!Z127="", "", 基本情報入力シート!Z127)</f>
        <v/>
      </c>
      <c r="L99" s="101" t="str">
        <f>IF(基本情報入力シート!AF127=0, "",基本情報入力シート!AF127)</f>
        <v/>
      </c>
      <c r="M99" s="142" t="str">
        <f>IF(AND(基本情報入力シート!AG127="",基本情報入力シート!AG127=""), "", 基本情報入力シート!AG127)</f>
        <v/>
      </c>
      <c r="N99" s="136"/>
      <c r="O99" s="155" t="str">
        <f>IFERROR(VLOOKUP(K99,【参考】数式用!$A$2:$M$57,MATCH(N99,【参考】数式用!$G$3:$M$3,0)+6,0),"")</f>
        <v/>
      </c>
      <c r="P99" s="456" t="s">
        <v>180</v>
      </c>
      <c r="Q99" s="141"/>
      <c r="R99" s="457" t="s">
        <v>271</v>
      </c>
      <c r="S99" s="141"/>
      <c r="T99" s="457" t="s">
        <v>272</v>
      </c>
      <c r="U99" s="141"/>
      <c r="V99" s="457" t="s">
        <v>271</v>
      </c>
      <c r="W99" s="141"/>
      <c r="X99" s="457" t="s">
        <v>273</v>
      </c>
      <c r="Y99" s="457" t="s">
        <v>274</v>
      </c>
      <c r="Z99" s="457" t="str">
        <f t="shared" si="38"/>
        <v/>
      </c>
      <c r="AA99" s="458" t="s">
        <v>275</v>
      </c>
      <c r="AB99" s="459" t="str">
        <f t="shared" si="39"/>
        <v/>
      </c>
      <c r="AC99" s="460" t="str">
        <f>IFERROR(ROUNDDOWN(ROUNDDOWN(ROUND(L99*VLOOKUP(K99,【参考】数式用!$A$2:$M$57,MATCH("処遇改善加算Ⅳ",【参考】数式用!$G$3:$M$3,0)+6,0),0)*M99,0)*Z99*0.5,0), "")</f>
        <v/>
      </c>
      <c r="AD99" s="156"/>
      <c r="AE99" s="157"/>
      <c r="AF99" s="157"/>
      <c r="AG99" s="158"/>
      <c r="AH99" s="159"/>
      <c r="AI99" s="160"/>
      <c r="AJ99" s="161"/>
      <c r="AK99" s="542" t="str">
        <f t="shared" si="47"/>
        <v/>
      </c>
      <c r="AL99" s="543" t="str">
        <f t="shared" si="40"/>
        <v/>
      </c>
      <c r="AM99" s="544"/>
      <c r="AN99" s="545" t="str">
        <f>IFERROR(VLOOKUP(K99,【参考】数式用!$A$2:$N$57,14,FALSE),"")</f>
        <v/>
      </c>
      <c r="AO99" s="545" t="str">
        <f t="shared" si="48"/>
        <v/>
      </c>
      <c r="AP99" s="546" t="str">
        <f t="shared" si="49"/>
        <v/>
      </c>
      <c r="AQ99" s="546" t="str">
        <f t="shared" si="50"/>
        <v>キャリアパス要件Ⅰ・Ⅱ_</v>
      </c>
      <c r="AR99" s="547" t="str">
        <f t="shared" si="51"/>
        <v>入力済</v>
      </c>
      <c r="AS99" s="545" t="str">
        <f t="shared" si="52"/>
        <v/>
      </c>
      <c r="AT99" s="547" t="str">
        <f t="shared" si="53"/>
        <v>入力済</v>
      </c>
      <c r="AU99" s="547" t="str">
        <f t="shared" si="54"/>
        <v/>
      </c>
      <c r="AV99" s="547" t="str">
        <f t="shared" si="55"/>
        <v/>
      </c>
      <c r="AW99" s="545" t="str">
        <f t="shared" si="56"/>
        <v/>
      </c>
      <c r="AX99" s="545" t="str">
        <f t="shared" si="41"/>
        <v>入力済</v>
      </c>
      <c r="AY99" s="547" t="str">
        <f>IFERROR(VLOOKUP(K99,【参考】数式用!$AR$3:$AS$49, 2, FALSE), "")</f>
        <v/>
      </c>
      <c r="AZ99" s="545" t="str">
        <f t="shared" si="57"/>
        <v/>
      </c>
      <c r="BA99" s="548" t="str">
        <f t="shared" si="58"/>
        <v>入力済</v>
      </c>
      <c r="BB99" s="547" t="str">
        <f>IFERROR(VLOOKUP(K99,【参考】数式用!$AX$3:$AY$56, 2, FALSE), "")</f>
        <v/>
      </c>
      <c r="BC99" s="545" t="str">
        <f t="shared" si="42"/>
        <v/>
      </c>
      <c r="BD99" s="548" t="str">
        <f t="shared" si="37"/>
        <v>入力済</v>
      </c>
      <c r="BE99" s="548" t="str">
        <f t="shared" si="43"/>
        <v/>
      </c>
      <c r="BF99" s="548" t="str">
        <f t="shared" si="44"/>
        <v/>
      </c>
      <c r="BG99" s="548" t="str">
        <f t="shared" si="45"/>
        <v/>
      </c>
      <c r="BH99" s="548" t="str">
        <f t="shared" si="46"/>
        <v/>
      </c>
      <c r="BI99" s="548" t="str">
        <f t="shared" si="59"/>
        <v/>
      </c>
      <c r="BM99" s="634" t="e">
        <f>VLOOKUP(K99,【参考】数式用!$A$2:$O$57,15,FALSE)</f>
        <v>#N/A</v>
      </c>
    </row>
    <row r="100" spans="1:65" ht="109.9" customHeight="1" thickBot="1">
      <c r="A100" s="454">
        <v>89</v>
      </c>
      <c r="B100" s="933" t="str">
        <f>IF(基本情報入力シート!B128="","",基本情報入力シート!B128)</f>
        <v/>
      </c>
      <c r="C100" s="934"/>
      <c r="D100" s="934"/>
      <c r="E100" s="934"/>
      <c r="F100" s="935"/>
      <c r="G100" s="455" t="str">
        <f>IF(基本情報入力シート!L128="", "", 基本情報入力シート!L128)</f>
        <v/>
      </c>
      <c r="H100" s="455" t="str">
        <f>IF(基本情報入力シート!Q128="", "", 基本情報入力シート!Q128)</f>
        <v/>
      </c>
      <c r="I100" s="455" t="str">
        <f>IF(基本情報入力シート!V128="", "", 基本情報入力シート!V128)</f>
        <v/>
      </c>
      <c r="J100" s="455" t="str">
        <f>IF(基本情報入力シート!W128="", "", 基本情報入力シート!W128)</f>
        <v/>
      </c>
      <c r="K100" s="455" t="str">
        <f>IF(基本情報入力シート!Z128="", "", 基本情報入力シート!Z128)</f>
        <v/>
      </c>
      <c r="L100" s="101" t="str">
        <f>IF(基本情報入力シート!AF128=0, "",基本情報入力シート!AF128)</f>
        <v/>
      </c>
      <c r="M100" s="142" t="str">
        <f>IF(AND(基本情報入力シート!AG128="",基本情報入力シート!AG128=""), "", 基本情報入力シート!AG128)</f>
        <v/>
      </c>
      <c r="N100" s="136"/>
      <c r="O100" s="155" t="str">
        <f>IFERROR(VLOOKUP(K100,【参考】数式用!$A$2:$M$57,MATCH(N100,【参考】数式用!$G$3:$M$3,0)+6,0),"")</f>
        <v/>
      </c>
      <c r="P100" s="456" t="s">
        <v>180</v>
      </c>
      <c r="Q100" s="141"/>
      <c r="R100" s="457" t="s">
        <v>271</v>
      </c>
      <c r="S100" s="141"/>
      <c r="T100" s="457" t="s">
        <v>272</v>
      </c>
      <c r="U100" s="141"/>
      <c r="V100" s="457" t="s">
        <v>271</v>
      </c>
      <c r="W100" s="141"/>
      <c r="X100" s="457" t="s">
        <v>273</v>
      </c>
      <c r="Y100" s="457" t="s">
        <v>274</v>
      </c>
      <c r="Z100" s="457" t="str">
        <f t="shared" si="38"/>
        <v/>
      </c>
      <c r="AA100" s="458" t="s">
        <v>275</v>
      </c>
      <c r="AB100" s="459" t="str">
        <f t="shared" si="39"/>
        <v/>
      </c>
      <c r="AC100" s="460" t="str">
        <f>IFERROR(ROUNDDOWN(ROUNDDOWN(ROUND(L100*VLOOKUP(K100,【参考】数式用!$A$2:$M$57,MATCH("処遇改善加算Ⅳ",【参考】数式用!$G$3:$M$3,0)+6,0),0)*M100,0)*Z100*0.5,0), "")</f>
        <v/>
      </c>
      <c r="AD100" s="156"/>
      <c r="AE100" s="157"/>
      <c r="AF100" s="157"/>
      <c r="AG100" s="158"/>
      <c r="AH100" s="159"/>
      <c r="AI100" s="160"/>
      <c r="AJ100" s="161"/>
      <c r="AK100" s="542" t="str">
        <f t="shared" si="47"/>
        <v/>
      </c>
      <c r="AL100" s="543" t="str">
        <f t="shared" si="40"/>
        <v/>
      </c>
      <c r="AM100" s="544"/>
      <c r="AN100" s="545" t="str">
        <f>IFERROR(VLOOKUP(K100,【参考】数式用!$A$2:$N$57,14,FALSE),"")</f>
        <v/>
      </c>
      <c r="AO100" s="545" t="str">
        <f t="shared" si="48"/>
        <v/>
      </c>
      <c r="AP100" s="546" t="str">
        <f t="shared" si="49"/>
        <v/>
      </c>
      <c r="AQ100" s="546" t="str">
        <f t="shared" si="50"/>
        <v>キャリアパス要件Ⅰ・Ⅱ_</v>
      </c>
      <c r="AR100" s="547" t="str">
        <f t="shared" si="51"/>
        <v>入力済</v>
      </c>
      <c r="AS100" s="545" t="str">
        <f t="shared" si="52"/>
        <v/>
      </c>
      <c r="AT100" s="547" t="str">
        <f t="shared" si="53"/>
        <v>入力済</v>
      </c>
      <c r="AU100" s="547" t="str">
        <f t="shared" si="54"/>
        <v/>
      </c>
      <c r="AV100" s="547" t="str">
        <f t="shared" si="55"/>
        <v/>
      </c>
      <c r="AW100" s="545" t="str">
        <f t="shared" si="56"/>
        <v/>
      </c>
      <c r="AX100" s="545" t="str">
        <f t="shared" si="41"/>
        <v>入力済</v>
      </c>
      <c r="AY100" s="547" t="str">
        <f>IFERROR(VLOOKUP(K100,【参考】数式用!$AR$3:$AS$49, 2, FALSE), "")</f>
        <v/>
      </c>
      <c r="AZ100" s="545" t="str">
        <f t="shared" si="57"/>
        <v/>
      </c>
      <c r="BA100" s="548" t="str">
        <f t="shared" si="58"/>
        <v>入力済</v>
      </c>
      <c r="BB100" s="547" t="str">
        <f>IFERROR(VLOOKUP(K100,【参考】数式用!$AX$3:$AY$56, 2, FALSE), "")</f>
        <v/>
      </c>
      <c r="BC100" s="545" t="str">
        <f t="shared" si="42"/>
        <v/>
      </c>
      <c r="BD100" s="548" t="str">
        <f t="shared" si="37"/>
        <v>入力済</v>
      </c>
      <c r="BE100" s="548" t="str">
        <f t="shared" si="43"/>
        <v/>
      </c>
      <c r="BF100" s="548" t="str">
        <f t="shared" si="44"/>
        <v/>
      </c>
      <c r="BG100" s="548" t="str">
        <f t="shared" si="45"/>
        <v/>
      </c>
      <c r="BH100" s="548" t="str">
        <f t="shared" si="46"/>
        <v/>
      </c>
      <c r="BI100" s="548" t="str">
        <f t="shared" si="59"/>
        <v/>
      </c>
      <c r="BM100" s="634" t="e">
        <f>VLOOKUP(K100,【参考】数式用!$A$2:$O$57,15,FALSE)</f>
        <v>#N/A</v>
      </c>
    </row>
    <row r="101" spans="1:65" ht="109.9" customHeight="1" thickBot="1">
      <c r="A101" s="454">
        <v>90</v>
      </c>
      <c r="B101" s="933" t="str">
        <f>IF(基本情報入力シート!B129="","",基本情報入力シート!B129)</f>
        <v/>
      </c>
      <c r="C101" s="934"/>
      <c r="D101" s="934"/>
      <c r="E101" s="934"/>
      <c r="F101" s="935"/>
      <c r="G101" s="455" t="str">
        <f>IF(基本情報入力シート!L129="", "", 基本情報入力シート!L129)</f>
        <v/>
      </c>
      <c r="H101" s="455" t="str">
        <f>IF(基本情報入力シート!Q129="", "", 基本情報入力シート!Q129)</f>
        <v/>
      </c>
      <c r="I101" s="455" t="str">
        <f>IF(基本情報入力シート!V129="", "", 基本情報入力シート!V129)</f>
        <v/>
      </c>
      <c r="J101" s="455" t="str">
        <f>IF(基本情報入力シート!W129="", "", 基本情報入力シート!W129)</f>
        <v/>
      </c>
      <c r="K101" s="455" t="str">
        <f>IF(基本情報入力シート!Z129="", "", 基本情報入力シート!Z129)</f>
        <v/>
      </c>
      <c r="L101" s="101" t="str">
        <f>IF(基本情報入力シート!AF129=0, "",基本情報入力シート!AF129)</f>
        <v/>
      </c>
      <c r="M101" s="142" t="str">
        <f>IF(AND(基本情報入力シート!AG129="",基本情報入力シート!AG129=""), "", 基本情報入力シート!AG129)</f>
        <v/>
      </c>
      <c r="N101" s="136"/>
      <c r="O101" s="155" t="str">
        <f>IFERROR(VLOOKUP(K101,【参考】数式用!$A$2:$M$57,MATCH(N101,【参考】数式用!$G$3:$M$3,0)+6,0),"")</f>
        <v/>
      </c>
      <c r="P101" s="456" t="s">
        <v>180</v>
      </c>
      <c r="Q101" s="141"/>
      <c r="R101" s="457" t="s">
        <v>271</v>
      </c>
      <c r="S101" s="141"/>
      <c r="T101" s="457" t="s">
        <v>272</v>
      </c>
      <c r="U101" s="141"/>
      <c r="V101" s="457" t="s">
        <v>271</v>
      </c>
      <c r="W101" s="141"/>
      <c r="X101" s="457" t="s">
        <v>273</v>
      </c>
      <c r="Y101" s="457" t="s">
        <v>274</v>
      </c>
      <c r="Z101" s="457" t="str">
        <f t="shared" si="38"/>
        <v/>
      </c>
      <c r="AA101" s="458" t="s">
        <v>275</v>
      </c>
      <c r="AB101" s="459" t="str">
        <f t="shared" si="39"/>
        <v/>
      </c>
      <c r="AC101" s="460" t="str">
        <f>IFERROR(ROUNDDOWN(ROUNDDOWN(ROUND(L101*VLOOKUP(K101,【参考】数式用!$A$2:$M$57,MATCH("処遇改善加算Ⅳ",【参考】数式用!$G$3:$M$3,0)+6,0),0)*M101,0)*Z101*0.5,0), "")</f>
        <v/>
      </c>
      <c r="AD101" s="156"/>
      <c r="AE101" s="157"/>
      <c r="AF101" s="157"/>
      <c r="AG101" s="158"/>
      <c r="AH101" s="159"/>
      <c r="AI101" s="160"/>
      <c r="AJ101" s="161"/>
      <c r="AK101" s="542" t="str">
        <f t="shared" si="47"/>
        <v/>
      </c>
      <c r="AL101" s="543" t="str">
        <f t="shared" si="40"/>
        <v/>
      </c>
      <c r="AM101" s="544"/>
      <c r="AN101" s="545" t="str">
        <f>IFERROR(VLOOKUP(K101,【参考】数式用!$A$2:$N$57,14,FALSE),"")</f>
        <v/>
      </c>
      <c r="AO101" s="545" t="str">
        <f t="shared" si="48"/>
        <v/>
      </c>
      <c r="AP101" s="546" t="str">
        <f t="shared" si="49"/>
        <v/>
      </c>
      <c r="AQ101" s="546" t="str">
        <f t="shared" si="50"/>
        <v>キャリアパス要件Ⅰ・Ⅱ_</v>
      </c>
      <c r="AR101" s="547" t="str">
        <f t="shared" si="51"/>
        <v>入力済</v>
      </c>
      <c r="AS101" s="545" t="str">
        <f t="shared" si="52"/>
        <v/>
      </c>
      <c r="AT101" s="547" t="str">
        <f t="shared" si="53"/>
        <v>入力済</v>
      </c>
      <c r="AU101" s="547" t="str">
        <f t="shared" si="54"/>
        <v/>
      </c>
      <c r="AV101" s="547" t="str">
        <f t="shared" si="55"/>
        <v/>
      </c>
      <c r="AW101" s="545" t="str">
        <f t="shared" si="56"/>
        <v/>
      </c>
      <c r="AX101" s="545" t="str">
        <f t="shared" si="41"/>
        <v>入力済</v>
      </c>
      <c r="AY101" s="547" t="str">
        <f>IFERROR(VLOOKUP(K101,【参考】数式用!$AR$3:$AS$49, 2, FALSE), "")</f>
        <v/>
      </c>
      <c r="AZ101" s="545" t="str">
        <f t="shared" si="57"/>
        <v/>
      </c>
      <c r="BA101" s="548" t="str">
        <f t="shared" si="58"/>
        <v>入力済</v>
      </c>
      <c r="BB101" s="547" t="str">
        <f>IFERROR(VLOOKUP(K101,【参考】数式用!$AX$3:$AY$56, 2, FALSE), "")</f>
        <v/>
      </c>
      <c r="BC101" s="545" t="str">
        <f t="shared" si="42"/>
        <v/>
      </c>
      <c r="BD101" s="548" t="str">
        <f t="shared" si="37"/>
        <v>入力済</v>
      </c>
      <c r="BE101" s="548" t="str">
        <f t="shared" si="43"/>
        <v/>
      </c>
      <c r="BF101" s="548" t="str">
        <f t="shared" si="44"/>
        <v/>
      </c>
      <c r="BG101" s="548" t="str">
        <f t="shared" si="45"/>
        <v/>
      </c>
      <c r="BH101" s="548" t="str">
        <f t="shared" si="46"/>
        <v/>
      </c>
      <c r="BI101" s="548" t="str">
        <f t="shared" si="59"/>
        <v/>
      </c>
      <c r="BM101" s="634" t="e">
        <f>VLOOKUP(K101,【参考】数式用!$A$2:$O$57,15,FALSE)</f>
        <v>#N/A</v>
      </c>
    </row>
    <row r="102" spans="1:65" ht="109.9" customHeight="1" thickBot="1">
      <c r="A102" s="454">
        <v>91</v>
      </c>
      <c r="B102" s="933" t="str">
        <f>IF(基本情報入力シート!B130="","",基本情報入力シート!B130)</f>
        <v/>
      </c>
      <c r="C102" s="934"/>
      <c r="D102" s="934"/>
      <c r="E102" s="934"/>
      <c r="F102" s="935"/>
      <c r="G102" s="455" t="str">
        <f>IF(基本情報入力シート!L130="", "", 基本情報入力シート!L130)</f>
        <v/>
      </c>
      <c r="H102" s="455" t="str">
        <f>IF(基本情報入力シート!Q130="", "", 基本情報入力シート!Q130)</f>
        <v/>
      </c>
      <c r="I102" s="455" t="str">
        <f>IF(基本情報入力シート!V130="", "", 基本情報入力シート!V130)</f>
        <v/>
      </c>
      <c r="J102" s="455" t="str">
        <f>IF(基本情報入力シート!W130="", "", 基本情報入力シート!W130)</f>
        <v/>
      </c>
      <c r="K102" s="455" t="str">
        <f>IF(基本情報入力シート!Z130="", "", 基本情報入力シート!Z130)</f>
        <v/>
      </c>
      <c r="L102" s="101" t="str">
        <f>IF(基本情報入力シート!AF130=0, "",基本情報入力シート!AF130)</f>
        <v/>
      </c>
      <c r="M102" s="142" t="str">
        <f>IF(AND(基本情報入力シート!AG130="",基本情報入力シート!AG130=""), "", 基本情報入力シート!AG130)</f>
        <v/>
      </c>
      <c r="N102" s="136"/>
      <c r="O102" s="155" t="str">
        <f>IFERROR(VLOOKUP(K102,【参考】数式用!$A$2:$M$57,MATCH(N102,【参考】数式用!$G$3:$M$3,0)+6,0),"")</f>
        <v/>
      </c>
      <c r="P102" s="456" t="s">
        <v>180</v>
      </c>
      <c r="Q102" s="141"/>
      <c r="R102" s="457" t="s">
        <v>271</v>
      </c>
      <c r="S102" s="141"/>
      <c r="T102" s="457" t="s">
        <v>272</v>
      </c>
      <c r="U102" s="141"/>
      <c r="V102" s="457" t="s">
        <v>271</v>
      </c>
      <c r="W102" s="141"/>
      <c r="X102" s="457" t="s">
        <v>182</v>
      </c>
      <c r="Y102" s="457" t="s">
        <v>274</v>
      </c>
      <c r="Z102" s="457" t="str">
        <f t="shared" si="38"/>
        <v/>
      </c>
      <c r="AA102" s="458" t="s">
        <v>275</v>
      </c>
      <c r="AB102" s="459" t="str">
        <f t="shared" si="39"/>
        <v/>
      </c>
      <c r="AC102" s="460" t="str">
        <f>IFERROR(ROUNDDOWN(ROUNDDOWN(ROUND(L102*VLOOKUP(K102,【参考】数式用!$A$2:$M$57,MATCH("処遇改善加算Ⅳ",【参考】数式用!$G$3:$M$3,0)+6,0),0)*M102,0)*Z102*0.5,0), "")</f>
        <v/>
      </c>
      <c r="AD102" s="156"/>
      <c r="AE102" s="157"/>
      <c r="AF102" s="157"/>
      <c r="AG102" s="158"/>
      <c r="AH102" s="159"/>
      <c r="AI102" s="160"/>
      <c r="AJ102" s="161"/>
      <c r="AK102" s="542" t="str">
        <f t="shared" si="47"/>
        <v/>
      </c>
      <c r="AL102" s="543" t="str">
        <f t="shared" si="40"/>
        <v/>
      </c>
      <c r="AM102" s="544"/>
      <c r="AN102" s="545" t="str">
        <f>IFERROR(VLOOKUP(K102,【参考】数式用!$A$2:$N$57,14,FALSE),"")</f>
        <v/>
      </c>
      <c r="AO102" s="545" t="str">
        <f t="shared" si="48"/>
        <v/>
      </c>
      <c r="AP102" s="546" t="str">
        <f t="shared" si="49"/>
        <v/>
      </c>
      <c r="AQ102" s="546" t="str">
        <f t="shared" si="50"/>
        <v>キャリアパス要件Ⅰ・Ⅱ_</v>
      </c>
      <c r="AR102" s="547" t="str">
        <f t="shared" si="51"/>
        <v>入力済</v>
      </c>
      <c r="AS102" s="545" t="str">
        <f t="shared" si="52"/>
        <v/>
      </c>
      <c r="AT102" s="547" t="str">
        <f t="shared" si="53"/>
        <v>入力済</v>
      </c>
      <c r="AU102" s="547" t="str">
        <f t="shared" si="54"/>
        <v/>
      </c>
      <c r="AV102" s="547" t="str">
        <f t="shared" si="55"/>
        <v/>
      </c>
      <c r="AW102" s="545" t="str">
        <f t="shared" si="56"/>
        <v/>
      </c>
      <c r="AX102" s="545" t="str">
        <f t="shared" si="41"/>
        <v>入力済</v>
      </c>
      <c r="AY102" s="547" t="str">
        <f>IFERROR(VLOOKUP(K102,【参考】数式用!$AR$3:$AS$49, 2, FALSE), "")</f>
        <v/>
      </c>
      <c r="AZ102" s="545" t="str">
        <f t="shared" si="57"/>
        <v/>
      </c>
      <c r="BA102" s="548" t="str">
        <f t="shared" si="58"/>
        <v>入力済</v>
      </c>
      <c r="BB102" s="547" t="str">
        <f>IFERROR(VLOOKUP(K102,【参考】数式用!$AX$3:$AY$56, 2, FALSE), "")</f>
        <v/>
      </c>
      <c r="BC102" s="545" t="str">
        <f t="shared" si="42"/>
        <v/>
      </c>
      <c r="BD102" s="548" t="str">
        <f t="shared" si="37"/>
        <v>入力済</v>
      </c>
      <c r="BE102" s="548" t="str">
        <f t="shared" si="43"/>
        <v/>
      </c>
      <c r="BF102" s="548" t="str">
        <f t="shared" si="44"/>
        <v/>
      </c>
      <c r="BG102" s="548" t="str">
        <f t="shared" si="45"/>
        <v/>
      </c>
      <c r="BH102" s="548" t="str">
        <f t="shared" si="46"/>
        <v/>
      </c>
      <c r="BI102" s="548" t="str">
        <f t="shared" si="59"/>
        <v/>
      </c>
      <c r="BM102" s="634" t="e">
        <f>VLOOKUP(K102,【参考】数式用!$A$2:$O$57,15,FALSE)</f>
        <v>#N/A</v>
      </c>
    </row>
    <row r="103" spans="1:65" ht="109.9" customHeight="1" thickBot="1">
      <c r="A103" s="454">
        <v>92</v>
      </c>
      <c r="B103" s="933" t="str">
        <f>IF(基本情報入力シート!B131="","",基本情報入力シート!B131)</f>
        <v/>
      </c>
      <c r="C103" s="934"/>
      <c r="D103" s="934"/>
      <c r="E103" s="934"/>
      <c r="F103" s="935"/>
      <c r="G103" s="455" t="str">
        <f>IF(基本情報入力シート!L131="", "", 基本情報入力シート!L131)</f>
        <v/>
      </c>
      <c r="H103" s="455" t="str">
        <f>IF(基本情報入力シート!Q131="", "", 基本情報入力シート!Q131)</f>
        <v/>
      </c>
      <c r="I103" s="455" t="str">
        <f>IF(基本情報入力シート!V131="", "", 基本情報入力シート!V131)</f>
        <v/>
      </c>
      <c r="J103" s="455" t="str">
        <f>IF(基本情報入力シート!W131="", "", 基本情報入力シート!W131)</f>
        <v/>
      </c>
      <c r="K103" s="455" t="str">
        <f>IF(基本情報入力シート!Z131="", "", 基本情報入力シート!Z131)</f>
        <v/>
      </c>
      <c r="L103" s="101" t="str">
        <f>IF(基本情報入力シート!AF131=0, "",基本情報入力シート!AF131)</f>
        <v/>
      </c>
      <c r="M103" s="142" t="str">
        <f>IF(AND(基本情報入力シート!AG131="",基本情報入力シート!AG131=""), "", 基本情報入力シート!AG131)</f>
        <v/>
      </c>
      <c r="N103" s="136"/>
      <c r="O103" s="155" t="str">
        <f>IFERROR(VLOOKUP(K103,【参考】数式用!$A$2:$M$57,MATCH(N103,【参考】数式用!$G$3:$M$3,0)+6,0),"")</f>
        <v/>
      </c>
      <c r="P103" s="456" t="s">
        <v>180</v>
      </c>
      <c r="Q103" s="141"/>
      <c r="R103" s="457" t="s">
        <v>271</v>
      </c>
      <c r="S103" s="141"/>
      <c r="T103" s="457" t="s">
        <v>272</v>
      </c>
      <c r="U103" s="141"/>
      <c r="V103" s="457" t="s">
        <v>271</v>
      </c>
      <c r="W103" s="141"/>
      <c r="X103" s="457" t="s">
        <v>273</v>
      </c>
      <c r="Y103" s="457" t="s">
        <v>274</v>
      </c>
      <c r="Z103" s="457" t="str">
        <f t="shared" si="38"/>
        <v/>
      </c>
      <c r="AA103" s="458" t="s">
        <v>275</v>
      </c>
      <c r="AB103" s="459" t="str">
        <f t="shared" si="39"/>
        <v/>
      </c>
      <c r="AC103" s="460" t="str">
        <f>IFERROR(ROUNDDOWN(ROUNDDOWN(ROUND(L103*VLOOKUP(K103,【参考】数式用!$A$2:$M$57,MATCH("処遇改善加算Ⅳ",【参考】数式用!$G$3:$M$3,0)+6,0),0)*M103,0)*Z103*0.5,0), "")</f>
        <v/>
      </c>
      <c r="AD103" s="156"/>
      <c r="AE103" s="157"/>
      <c r="AF103" s="157"/>
      <c r="AG103" s="158"/>
      <c r="AH103" s="159"/>
      <c r="AI103" s="160"/>
      <c r="AJ103" s="161"/>
      <c r="AK103" s="542" t="str">
        <f t="shared" si="47"/>
        <v/>
      </c>
      <c r="AL103" s="543" t="str">
        <f t="shared" si="40"/>
        <v/>
      </c>
      <c r="AM103" s="544"/>
      <c r="AN103" s="545" t="str">
        <f>IFERROR(VLOOKUP(K103,【参考】数式用!$A$2:$N$57,14,FALSE),"")</f>
        <v/>
      </c>
      <c r="AO103" s="545" t="str">
        <f t="shared" si="48"/>
        <v/>
      </c>
      <c r="AP103" s="546" t="str">
        <f t="shared" si="49"/>
        <v/>
      </c>
      <c r="AQ103" s="546" t="str">
        <f t="shared" si="50"/>
        <v>キャリアパス要件Ⅰ・Ⅱ_</v>
      </c>
      <c r="AR103" s="547" t="str">
        <f t="shared" si="51"/>
        <v>入力済</v>
      </c>
      <c r="AS103" s="545" t="str">
        <f t="shared" si="52"/>
        <v/>
      </c>
      <c r="AT103" s="547" t="str">
        <f t="shared" si="53"/>
        <v>入力済</v>
      </c>
      <c r="AU103" s="547" t="str">
        <f t="shared" si="54"/>
        <v/>
      </c>
      <c r="AV103" s="547" t="str">
        <f t="shared" si="55"/>
        <v/>
      </c>
      <c r="AW103" s="545" t="str">
        <f t="shared" si="56"/>
        <v/>
      </c>
      <c r="AX103" s="545" t="str">
        <f t="shared" si="41"/>
        <v>入力済</v>
      </c>
      <c r="AY103" s="547" t="str">
        <f>IFERROR(VLOOKUP(K103,【参考】数式用!$AR$3:$AS$49, 2, FALSE), "")</f>
        <v/>
      </c>
      <c r="AZ103" s="545" t="str">
        <f t="shared" si="57"/>
        <v/>
      </c>
      <c r="BA103" s="548" t="str">
        <f t="shared" si="58"/>
        <v>入力済</v>
      </c>
      <c r="BB103" s="547" t="str">
        <f>IFERROR(VLOOKUP(K103,【参考】数式用!$AX$3:$AY$56, 2, FALSE), "")</f>
        <v/>
      </c>
      <c r="BC103" s="545" t="str">
        <f t="shared" si="42"/>
        <v/>
      </c>
      <c r="BD103" s="548" t="str">
        <f t="shared" si="37"/>
        <v>入力済</v>
      </c>
      <c r="BE103" s="548" t="str">
        <f t="shared" si="43"/>
        <v/>
      </c>
      <c r="BF103" s="548" t="str">
        <f t="shared" si="44"/>
        <v/>
      </c>
      <c r="BG103" s="548" t="str">
        <f t="shared" si="45"/>
        <v/>
      </c>
      <c r="BH103" s="548" t="str">
        <f t="shared" si="46"/>
        <v/>
      </c>
      <c r="BI103" s="548" t="str">
        <f t="shared" si="59"/>
        <v/>
      </c>
      <c r="BM103" s="634" t="e">
        <f>VLOOKUP(K103,【参考】数式用!$A$2:$O$57,15,FALSE)</f>
        <v>#N/A</v>
      </c>
    </row>
    <row r="104" spans="1:65" ht="109.9" customHeight="1" thickBot="1">
      <c r="A104" s="454">
        <v>93</v>
      </c>
      <c r="B104" s="933" t="str">
        <f>IF(基本情報入力シート!B132="","",基本情報入力シート!B132)</f>
        <v/>
      </c>
      <c r="C104" s="934"/>
      <c r="D104" s="934"/>
      <c r="E104" s="934"/>
      <c r="F104" s="935"/>
      <c r="G104" s="455" t="str">
        <f>IF(基本情報入力シート!L132="", "", 基本情報入力シート!L132)</f>
        <v/>
      </c>
      <c r="H104" s="455" t="str">
        <f>IF(基本情報入力シート!Q132="", "", 基本情報入力シート!Q132)</f>
        <v/>
      </c>
      <c r="I104" s="455" t="str">
        <f>IF(基本情報入力シート!V132="", "", 基本情報入力シート!V132)</f>
        <v/>
      </c>
      <c r="J104" s="455" t="str">
        <f>IF(基本情報入力シート!W132="", "", 基本情報入力シート!W132)</f>
        <v/>
      </c>
      <c r="K104" s="455" t="str">
        <f>IF(基本情報入力シート!Z132="", "", 基本情報入力シート!Z132)</f>
        <v/>
      </c>
      <c r="L104" s="101" t="str">
        <f>IF(基本情報入力シート!AF132=0, "",基本情報入力シート!AF132)</f>
        <v/>
      </c>
      <c r="M104" s="142" t="str">
        <f>IF(AND(基本情報入力シート!AG132="",基本情報入力シート!AG132=""), "", 基本情報入力シート!AG132)</f>
        <v/>
      </c>
      <c r="N104" s="136"/>
      <c r="O104" s="155" t="str">
        <f>IFERROR(VLOOKUP(K104,【参考】数式用!$A$2:$M$57,MATCH(N104,【参考】数式用!$G$3:$M$3,0)+6,0),"")</f>
        <v/>
      </c>
      <c r="P104" s="456" t="s">
        <v>180</v>
      </c>
      <c r="Q104" s="141"/>
      <c r="R104" s="457" t="s">
        <v>271</v>
      </c>
      <c r="S104" s="141"/>
      <c r="T104" s="457" t="s">
        <v>272</v>
      </c>
      <c r="U104" s="141"/>
      <c r="V104" s="457" t="s">
        <v>271</v>
      </c>
      <c r="W104" s="141"/>
      <c r="X104" s="457" t="s">
        <v>273</v>
      </c>
      <c r="Y104" s="457" t="s">
        <v>274</v>
      </c>
      <c r="Z104" s="457" t="str">
        <f t="shared" si="38"/>
        <v/>
      </c>
      <c r="AA104" s="458" t="s">
        <v>275</v>
      </c>
      <c r="AB104" s="459" t="str">
        <f t="shared" si="39"/>
        <v/>
      </c>
      <c r="AC104" s="460" t="str">
        <f>IFERROR(ROUNDDOWN(ROUNDDOWN(ROUND(L104*VLOOKUP(K104,【参考】数式用!$A$2:$M$57,MATCH("処遇改善加算Ⅳ",【参考】数式用!$G$3:$M$3,0)+6,0),0)*M104,0)*Z104*0.5,0), "")</f>
        <v/>
      </c>
      <c r="AD104" s="156"/>
      <c r="AE104" s="157"/>
      <c r="AF104" s="157"/>
      <c r="AG104" s="158"/>
      <c r="AH104" s="159"/>
      <c r="AI104" s="160"/>
      <c r="AJ104" s="161"/>
      <c r="AK104" s="542" t="str">
        <f t="shared" si="47"/>
        <v/>
      </c>
      <c r="AL104" s="543" t="str">
        <f t="shared" si="40"/>
        <v/>
      </c>
      <c r="AM104" s="544"/>
      <c r="AN104" s="545" t="str">
        <f>IFERROR(VLOOKUP(K104,【参考】数式用!$A$2:$N$57,14,FALSE),"")</f>
        <v/>
      </c>
      <c r="AO104" s="545" t="str">
        <f t="shared" si="48"/>
        <v/>
      </c>
      <c r="AP104" s="546" t="str">
        <f t="shared" si="49"/>
        <v/>
      </c>
      <c r="AQ104" s="546" t="str">
        <f t="shared" si="50"/>
        <v>キャリアパス要件Ⅰ・Ⅱ_</v>
      </c>
      <c r="AR104" s="547" t="str">
        <f t="shared" si="51"/>
        <v>入力済</v>
      </c>
      <c r="AS104" s="545" t="str">
        <f t="shared" si="52"/>
        <v/>
      </c>
      <c r="AT104" s="547" t="str">
        <f t="shared" si="53"/>
        <v>入力済</v>
      </c>
      <c r="AU104" s="547" t="str">
        <f t="shared" si="54"/>
        <v/>
      </c>
      <c r="AV104" s="547" t="str">
        <f t="shared" si="55"/>
        <v/>
      </c>
      <c r="AW104" s="545" t="str">
        <f t="shared" si="56"/>
        <v/>
      </c>
      <c r="AX104" s="545" t="str">
        <f t="shared" si="41"/>
        <v>入力済</v>
      </c>
      <c r="AY104" s="547" t="str">
        <f>IFERROR(VLOOKUP(K104,【参考】数式用!$AR$3:$AS$49, 2, FALSE), "")</f>
        <v/>
      </c>
      <c r="AZ104" s="545" t="str">
        <f t="shared" si="57"/>
        <v/>
      </c>
      <c r="BA104" s="548" t="str">
        <f t="shared" si="58"/>
        <v>入力済</v>
      </c>
      <c r="BB104" s="547" t="str">
        <f>IFERROR(VLOOKUP(K104,【参考】数式用!$AX$3:$AY$56, 2, FALSE), "")</f>
        <v/>
      </c>
      <c r="BC104" s="545" t="str">
        <f t="shared" si="42"/>
        <v/>
      </c>
      <c r="BD104" s="548" t="str">
        <f t="shared" si="37"/>
        <v>入力済</v>
      </c>
      <c r="BE104" s="548" t="str">
        <f t="shared" si="43"/>
        <v/>
      </c>
      <c r="BF104" s="548" t="str">
        <f t="shared" si="44"/>
        <v/>
      </c>
      <c r="BG104" s="548" t="str">
        <f t="shared" si="45"/>
        <v/>
      </c>
      <c r="BH104" s="548" t="str">
        <f t="shared" si="46"/>
        <v/>
      </c>
      <c r="BI104" s="548" t="str">
        <f t="shared" si="59"/>
        <v/>
      </c>
      <c r="BM104" s="634" t="e">
        <f>VLOOKUP(K104,【参考】数式用!$A$2:$O$57,15,FALSE)</f>
        <v>#N/A</v>
      </c>
    </row>
    <row r="105" spans="1:65" ht="109.9" customHeight="1" thickBot="1">
      <c r="A105" s="454">
        <v>94</v>
      </c>
      <c r="B105" s="933" t="str">
        <f>IF(基本情報入力シート!B133="","",基本情報入力シート!B133)</f>
        <v/>
      </c>
      <c r="C105" s="934"/>
      <c r="D105" s="934"/>
      <c r="E105" s="934"/>
      <c r="F105" s="935"/>
      <c r="G105" s="455" t="str">
        <f>IF(基本情報入力シート!L133="", "", 基本情報入力シート!L133)</f>
        <v/>
      </c>
      <c r="H105" s="455" t="str">
        <f>IF(基本情報入力シート!Q133="", "", 基本情報入力シート!Q133)</f>
        <v/>
      </c>
      <c r="I105" s="455" t="str">
        <f>IF(基本情報入力シート!V133="", "", 基本情報入力シート!V133)</f>
        <v/>
      </c>
      <c r="J105" s="455" t="str">
        <f>IF(基本情報入力シート!W133="", "", 基本情報入力シート!W133)</f>
        <v/>
      </c>
      <c r="K105" s="455" t="str">
        <f>IF(基本情報入力シート!Z133="", "", 基本情報入力シート!Z133)</f>
        <v/>
      </c>
      <c r="L105" s="101" t="str">
        <f>IF(基本情報入力シート!AF133=0, "",基本情報入力シート!AF133)</f>
        <v/>
      </c>
      <c r="M105" s="142" t="str">
        <f>IF(AND(基本情報入力シート!AG133="",基本情報入力シート!AG133=""), "", 基本情報入力シート!AG133)</f>
        <v/>
      </c>
      <c r="N105" s="136"/>
      <c r="O105" s="155" t="str">
        <f>IFERROR(VLOOKUP(K105,【参考】数式用!$A$2:$M$57,MATCH(N105,【参考】数式用!$G$3:$M$3,0)+6,0),"")</f>
        <v/>
      </c>
      <c r="P105" s="456" t="s">
        <v>180</v>
      </c>
      <c r="Q105" s="141"/>
      <c r="R105" s="457" t="s">
        <v>271</v>
      </c>
      <c r="S105" s="141"/>
      <c r="T105" s="457" t="s">
        <v>272</v>
      </c>
      <c r="U105" s="141"/>
      <c r="V105" s="457" t="s">
        <v>271</v>
      </c>
      <c r="W105" s="141"/>
      <c r="X105" s="457" t="s">
        <v>273</v>
      </c>
      <c r="Y105" s="457" t="s">
        <v>274</v>
      </c>
      <c r="Z105" s="457" t="str">
        <f t="shared" si="38"/>
        <v/>
      </c>
      <c r="AA105" s="458" t="s">
        <v>275</v>
      </c>
      <c r="AB105" s="459" t="str">
        <f t="shared" si="39"/>
        <v/>
      </c>
      <c r="AC105" s="460" t="str">
        <f>IFERROR(ROUNDDOWN(ROUNDDOWN(ROUND(L105*VLOOKUP(K105,【参考】数式用!$A$2:$M$57,MATCH("処遇改善加算Ⅳ",【参考】数式用!$G$3:$M$3,0)+6,0),0)*M105,0)*Z105*0.5,0), "")</f>
        <v/>
      </c>
      <c r="AD105" s="156"/>
      <c r="AE105" s="157"/>
      <c r="AF105" s="157"/>
      <c r="AG105" s="158"/>
      <c r="AH105" s="159"/>
      <c r="AI105" s="160"/>
      <c r="AJ105" s="161"/>
      <c r="AK105" s="542" t="str">
        <f t="shared" si="47"/>
        <v/>
      </c>
      <c r="AL105" s="543" t="str">
        <f t="shared" si="40"/>
        <v/>
      </c>
      <c r="AM105" s="544"/>
      <c r="AN105" s="545" t="str">
        <f>IFERROR(VLOOKUP(K105,【参考】数式用!$A$2:$N$57,14,FALSE),"")</f>
        <v/>
      </c>
      <c r="AO105" s="545" t="str">
        <f t="shared" si="48"/>
        <v/>
      </c>
      <c r="AP105" s="546" t="str">
        <f t="shared" si="49"/>
        <v/>
      </c>
      <c r="AQ105" s="546" t="str">
        <f t="shared" si="50"/>
        <v>キャリアパス要件Ⅰ・Ⅱ_</v>
      </c>
      <c r="AR105" s="547" t="str">
        <f t="shared" si="51"/>
        <v>入力済</v>
      </c>
      <c r="AS105" s="545" t="str">
        <f t="shared" si="52"/>
        <v/>
      </c>
      <c r="AT105" s="547" t="str">
        <f t="shared" si="53"/>
        <v>入力済</v>
      </c>
      <c r="AU105" s="547" t="str">
        <f t="shared" si="54"/>
        <v/>
      </c>
      <c r="AV105" s="547" t="str">
        <f t="shared" si="55"/>
        <v/>
      </c>
      <c r="AW105" s="545" t="str">
        <f t="shared" si="56"/>
        <v/>
      </c>
      <c r="AX105" s="545" t="str">
        <f t="shared" si="41"/>
        <v>入力済</v>
      </c>
      <c r="AY105" s="547" t="str">
        <f>IFERROR(VLOOKUP(K105,【参考】数式用!$AR$3:$AS$49, 2, FALSE), "")</f>
        <v/>
      </c>
      <c r="AZ105" s="545" t="str">
        <f t="shared" si="57"/>
        <v/>
      </c>
      <c r="BA105" s="548" t="str">
        <f t="shared" si="58"/>
        <v>入力済</v>
      </c>
      <c r="BB105" s="547" t="str">
        <f>IFERROR(VLOOKUP(K105,【参考】数式用!$AX$3:$AY$56, 2, FALSE), "")</f>
        <v/>
      </c>
      <c r="BC105" s="545" t="str">
        <f t="shared" si="42"/>
        <v/>
      </c>
      <c r="BD105" s="548" t="str">
        <f t="shared" si="37"/>
        <v>入力済</v>
      </c>
      <c r="BE105" s="548" t="str">
        <f t="shared" si="43"/>
        <v/>
      </c>
      <c r="BF105" s="548" t="str">
        <f t="shared" si="44"/>
        <v/>
      </c>
      <c r="BG105" s="548" t="str">
        <f t="shared" si="45"/>
        <v/>
      </c>
      <c r="BH105" s="548" t="str">
        <f t="shared" si="46"/>
        <v/>
      </c>
      <c r="BI105" s="548" t="str">
        <f t="shared" si="59"/>
        <v/>
      </c>
      <c r="BM105" s="634" t="e">
        <f>VLOOKUP(K105,【参考】数式用!$A$2:$O$57,15,FALSE)</f>
        <v>#N/A</v>
      </c>
    </row>
    <row r="106" spans="1:65" ht="109.9" customHeight="1" thickBot="1">
      <c r="A106" s="454">
        <v>95</v>
      </c>
      <c r="B106" s="933" t="str">
        <f>IF(基本情報入力シート!B134="","",基本情報入力シート!B134)</f>
        <v/>
      </c>
      <c r="C106" s="934"/>
      <c r="D106" s="934"/>
      <c r="E106" s="934"/>
      <c r="F106" s="935"/>
      <c r="G106" s="455" t="str">
        <f>IF(基本情報入力シート!L134="", "", 基本情報入力シート!L134)</f>
        <v/>
      </c>
      <c r="H106" s="455" t="str">
        <f>IF(基本情報入力シート!Q134="", "", 基本情報入力シート!Q134)</f>
        <v/>
      </c>
      <c r="I106" s="455" t="str">
        <f>IF(基本情報入力シート!V134="", "", 基本情報入力シート!V134)</f>
        <v/>
      </c>
      <c r="J106" s="455" t="str">
        <f>IF(基本情報入力シート!W134="", "", 基本情報入力シート!W134)</f>
        <v/>
      </c>
      <c r="K106" s="455" t="str">
        <f>IF(基本情報入力シート!Z134="", "", 基本情報入力シート!Z134)</f>
        <v/>
      </c>
      <c r="L106" s="101" t="str">
        <f>IF(基本情報入力シート!AF134=0, "",基本情報入力シート!AF134)</f>
        <v/>
      </c>
      <c r="M106" s="142" t="str">
        <f>IF(AND(基本情報入力シート!AG134="",基本情報入力シート!AG134=""), "", 基本情報入力シート!AG134)</f>
        <v/>
      </c>
      <c r="N106" s="136"/>
      <c r="O106" s="155" t="str">
        <f>IFERROR(VLOOKUP(K106,【参考】数式用!$A$2:$M$57,MATCH(N106,【参考】数式用!$G$3:$M$3,0)+6,0),"")</f>
        <v/>
      </c>
      <c r="P106" s="456" t="s">
        <v>180</v>
      </c>
      <c r="Q106" s="141"/>
      <c r="R106" s="457" t="s">
        <v>271</v>
      </c>
      <c r="S106" s="141"/>
      <c r="T106" s="457" t="s">
        <v>272</v>
      </c>
      <c r="U106" s="141"/>
      <c r="V106" s="457" t="s">
        <v>271</v>
      </c>
      <c r="W106" s="141"/>
      <c r="X106" s="457" t="s">
        <v>182</v>
      </c>
      <c r="Y106" s="457" t="s">
        <v>274</v>
      </c>
      <c r="Z106" s="457" t="str">
        <f t="shared" si="38"/>
        <v/>
      </c>
      <c r="AA106" s="458" t="s">
        <v>275</v>
      </c>
      <c r="AB106" s="459" t="str">
        <f t="shared" si="39"/>
        <v/>
      </c>
      <c r="AC106" s="460" t="str">
        <f>IFERROR(ROUNDDOWN(ROUNDDOWN(ROUND(L106*VLOOKUP(K106,【参考】数式用!$A$2:$M$57,MATCH("処遇改善加算Ⅳ",【参考】数式用!$G$3:$M$3,0)+6,0),0)*M106,0)*Z106*0.5,0), "")</f>
        <v/>
      </c>
      <c r="AD106" s="156"/>
      <c r="AE106" s="157"/>
      <c r="AF106" s="157"/>
      <c r="AG106" s="158"/>
      <c r="AH106" s="159"/>
      <c r="AI106" s="160"/>
      <c r="AJ106" s="161"/>
      <c r="AK106" s="542" t="str">
        <f t="shared" si="47"/>
        <v/>
      </c>
      <c r="AL106" s="543" t="str">
        <f t="shared" si="40"/>
        <v/>
      </c>
      <c r="AM106" s="544"/>
      <c r="AN106" s="545" t="str">
        <f>IFERROR(VLOOKUP(K106,【参考】数式用!$A$2:$N$57,14,FALSE),"")</f>
        <v/>
      </c>
      <c r="AO106" s="545" t="str">
        <f t="shared" si="48"/>
        <v/>
      </c>
      <c r="AP106" s="546" t="str">
        <f t="shared" si="49"/>
        <v/>
      </c>
      <c r="AQ106" s="546" t="str">
        <f t="shared" si="50"/>
        <v>キャリアパス要件Ⅰ・Ⅱ_</v>
      </c>
      <c r="AR106" s="547" t="str">
        <f t="shared" si="51"/>
        <v>入力済</v>
      </c>
      <c r="AS106" s="545" t="str">
        <f t="shared" si="52"/>
        <v/>
      </c>
      <c r="AT106" s="547" t="str">
        <f t="shared" si="53"/>
        <v>入力済</v>
      </c>
      <c r="AU106" s="547" t="str">
        <f t="shared" si="54"/>
        <v/>
      </c>
      <c r="AV106" s="547" t="str">
        <f t="shared" si="55"/>
        <v/>
      </c>
      <c r="AW106" s="545" t="str">
        <f t="shared" si="56"/>
        <v/>
      </c>
      <c r="AX106" s="545" t="str">
        <f t="shared" si="41"/>
        <v>入力済</v>
      </c>
      <c r="AY106" s="547" t="str">
        <f>IFERROR(VLOOKUP(K106,【参考】数式用!$AR$3:$AS$49, 2, FALSE), "")</f>
        <v/>
      </c>
      <c r="AZ106" s="545" t="str">
        <f t="shared" si="57"/>
        <v/>
      </c>
      <c r="BA106" s="548" t="str">
        <f t="shared" si="58"/>
        <v>入力済</v>
      </c>
      <c r="BB106" s="547" t="str">
        <f>IFERROR(VLOOKUP(K106,【参考】数式用!$AX$3:$AY$56, 2, FALSE), "")</f>
        <v/>
      </c>
      <c r="BC106" s="545" t="str">
        <f t="shared" si="42"/>
        <v/>
      </c>
      <c r="BD106" s="548" t="str">
        <f t="shared" si="37"/>
        <v>入力済</v>
      </c>
      <c r="BE106" s="548" t="str">
        <f t="shared" si="43"/>
        <v/>
      </c>
      <c r="BF106" s="548" t="str">
        <f t="shared" si="44"/>
        <v/>
      </c>
      <c r="BG106" s="548" t="str">
        <f t="shared" si="45"/>
        <v/>
      </c>
      <c r="BH106" s="548" t="str">
        <f t="shared" si="46"/>
        <v/>
      </c>
      <c r="BI106" s="548" t="str">
        <f t="shared" si="59"/>
        <v/>
      </c>
      <c r="BM106" s="634" t="e">
        <f>VLOOKUP(K106,【参考】数式用!$A$2:$O$57,15,FALSE)</f>
        <v>#N/A</v>
      </c>
    </row>
    <row r="107" spans="1:65" ht="109.9" customHeight="1" thickBot="1">
      <c r="A107" s="454">
        <v>96</v>
      </c>
      <c r="B107" s="933" t="str">
        <f>IF(基本情報入力シート!B135="","",基本情報入力シート!B135)</f>
        <v/>
      </c>
      <c r="C107" s="934"/>
      <c r="D107" s="934"/>
      <c r="E107" s="934"/>
      <c r="F107" s="935"/>
      <c r="G107" s="455" t="str">
        <f>IF(基本情報入力シート!L135="", "", 基本情報入力シート!L135)</f>
        <v/>
      </c>
      <c r="H107" s="455" t="str">
        <f>IF(基本情報入力シート!Q135="", "", 基本情報入力シート!Q135)</f>
        <v/>
      </c>
      <c r="I107" s="455" t="str">
        <f>IF(基本情報入力シート!V135="", "", 基本情報入力シート!V135)</f>
        <v/>
      </c>
      <c r="J107" s="455" t="str">
        <f>IF(基本情報入力シート!W135="", "", 基本情報入力シート!W135)</f>
        <v/>
      </c>
      <c r="K107" s="455" t="str">
        <f>IF(基本情報入力シート!Z135="", "", 基本情報入力シート!Z135)</f>
        <v/>
      </c>
      <c r="L107" s="101" t="str">
        <f>IF(基本情報入力シート!AF135=0, "",基本情報入力シート!AF135)</f>
        <v/>
      </c>
      <c r="M107" s="142" t="str">
        <f>IF(AND(基本情報入力シート!AG135="",基本情報入力シート!AG135=""), "", 基本情報入力シート!AG135)</f>
        <v/>
      </c>
      <c r="N107" s="136"/>
      <c r="O107" s="155" t="str">
        <f>IFERROR(VLOOKUP(K107,【参考】数式用!$A$2:$M$57,MATCH(N107,【参考】数式用!$G$3:$M$3,0)+6,0),"")</f>
        <v/>
      </c>
      <c r="P107" s="456" t="s">
        <v>180</v>
      </c>
      <c r="Q107" s="141"/>
      <c r="R107" s="457" t="s">
        <v>271</v>
      </c>
      <c r="S107" s="141"/>
      <c r="T107" s="457" t="s">
        <v>272</v>
      </c>
      <c r="U107" s="141"/>
      <c r="V107" s="457" t="s">
        <v>271</v>
      </c>
      <c r="W107" s="141"/>
      <c r="X107" s="457" t="s">
        <v>182</v>
      </c>
      <c r="Y107" s="457" t="s">
        <v>274</v>
      </c>
      <c r="Z107" s="457" t="str">
        <f t="shared" si="38"/>
        <v/>
      </c>
      <c r="AA107" s="458" t="s">
        <v>275</v>
      </c>
      <c r="AB107" s="459" t="str">
        <f t="shared" si="39"/>
        <v/>
      </c>
      <c r="AC107" s="460" t="str">
        <f>IFERROR(ROUNDDOWN(ROUNDDOWN(ROUND(L107*VLOOKUP(K107,【参考】数式用!$A$2:$M$57,MATCH("処遇改善加算Ⅳ",【参考】数式用!$G$3:$M$3,0)+6,0),0)*M107,0)*Z107*0.5,0), "")</f>
        <v/>
      </c>
      <c r="AD107" s="156"/>
      <c r="AE107" s="157"/>
      <c r="AF107" s="157"/>
      <c r="AG107" s="158"/>
      <c r="AH107" s="159"/>
      <c r="AI107" s="160"/>
      <c r="AJ107" s="161"/>
      <c r="AK107" s="542" t="str">
        <f t="shared" si="47"/>
        <v/>
      </c>
      <c r="AL107" s="543" t="str">
        <f t="shared" si="40"/>
        <v/>
      </c>
      <c r="AM107" s="544"/>
      <c r="AN107" s="545" t="str">
        <f>IFERROR(VLOOKUP(K107,【参考】数式用!$A$2:$N$57,14,FALSE),"")</f>
        <v/>
      </c>
      <c r="AO107" s="545" t="str">
        <f t="shared" si="48"/>
        <v/>
      </c>
      <c r="AP107" s="546" t="str">
        <f t="shared" si="49"/>
        <v/>
      </c>
      <c r="AQ107" s="546" t="str">
        <f t="shared" si="50"/>
        <v>キャリアパス要件Ⅰ・Ⅱ_</v>
      </c>
      <c r="AR107" s="547" t="str">
        <f t="shared" si="51"/>
        <v>入力済</v>
      </c>
      <c r="AS107" s="545" t="str">
        <f t="shared" si="52"/>
        <v/>
      </c>
      <c r="AT107" s="547" t="str">
        <f t="shared" si="53"/>
        <v>入力済</v>
      </c>
      <c r="AU107" s="547" t="str">
        <f t="shared" si="54"/>
        <v/>
      </c>
      <c r="AV107" s="547" t="str">
        <f t="shared" si="55"/>
        <v/>
      </c>
      <c r="AW107" s="545" t="str">
        <f t="shared" si="56"/>
        <v/>
      </c>
      <c r="AX107" s="545" t="str">
        <f t="shared" si="41"/>
        <v>入力済</v>
      </c>
      <c r="AY107" s="547" t="str">
        <f>IFERROR(VLOOKUP(K107,【参考】数式用!$AR$3:$AS$49, 2, FALSE), "")</f>
        <v/>
      </c>
      <c r="AZ107" s="545" t="str">
        <f t="shared" si="57"/>
        <v/>
      </c>
      <c r="BA107" s="548" t="str">
        <f t="shared" si="58"/>
        <v>入力済</v>
      </c>
      <c r="BB107" s="547" t="str">
        <f>IFERROR(VLOOKUP(K107,【参考】数式用!$AX$3:$AY$56, 2, FALSE), "")</f>
        <v/>
      </c>
      <c r="BC107" s="545" t="str">
        <f t="shared" si="42"/>
        <v/>
      </c>
      <c r="BD107" s="548" t="str">
        <f t="shared" si="37"/>
        <v>入力済</v>
      </c>
      <c r="BE107" s="548" t="str">
        <f t="shared" si="43"/>
        <v/>
      </c>
      <c r="BF107" s="548" t="str">
        <f t="shared" si="44"/>
        <v/>
      </c>
      <c r="BG107" s="548" t="str">
        <f t="shared" si="45"/>
        <v/>
      </c>
      <c r="BH107" s="548" t="str">
        <f t="shared" si="46"/>
        <v/>
      </c>
      <c r="BI107" s="548" t="str">
        <f t="shared" si="59"/>
        <v/>
      </c>
      <c r="BM107" s="634" t="e">
        <f>VLOOKUP(K107,【参考】数式用!$A$2:$O$57,15,FALSE)</f>
        <v>#N/A</v>
      </c>
    </row>
    <row r="108" spans="1:65" ht="109.9" customHeight="1" thickBot="1">
      <c r="A108" s="454">
        <v>97</v>
      </c>
      <c r="B108" s="933" t="str">
        <f>IF(基本情報入力シート!B136="","",基本情報入力シート!B136)</f>
        <v/>
      </c>
      <c r="C108" s="934"/>
      <c r="D108" s="934"/>
      <c r="E108" s="934"/>
      <c r="F108" s="935"/>
      <c r="G108" s="455" t="str">
        <f>IF(基本情報入力シート!L136="", "", 基本情報入力シート!L136)</f>
        <v/>
      </c>
      <c r="H108" s="455" t="str">
        <f>IF(基本情報入力シート!Q136="", "", 基本情報入力シート!Q136)</f>
        <v/>
      </c>
      <c r="I108" s="455" t="str">
        <f>IF(基本情報入力シート!V136="", "", 基本情報入力シート!V136)</f>
        <v/>
      </c>
      <c r="J108" s="455" t="str">
        <f>IF(基本情報入力シート!W136="", "", 基本情報入力シート!W136)</f>
        <v/>
      </c>
      <c r="K108" s="455" t="str">
        <f>IF(基本情報入力シート!Z136="", "", 基本情報入力シート!Z136)</f>
        <v/>
      </c>
      <c r="L108" s="101" t="str">
        <f>IF(基本情報入力シート!AF136=0, "",基本情報入力シート!AF136)</f>
        <v/>
      </c>
      <c r="M108" s="142" t="str">
        <f>IF(AND(基本情報入力シート!AG136="",基本情報入力シート!AG136=""), "", 基本情報入力シート!AG136)</f>
        <v/>
      </c>
      <c r="N108" s="136"/>
      <c r="O108" s="155" t="str">
        <f>IFERROR(VLOOKUP(K108,【参考】数式用!$A$2:$M$57,MATCH(N108,【参考】数式用!$G$3:$M$3,0)+6,0),"")</f>
        <v/>
      </c>
      <c r="P108" s="456" t="s">
        <v>180</v>
      </c>
      <c r="Q108" s="141"/>
      <c r="R108" s="457" t="s">
        <v>271</v>
      </c>
      <c r="S108" s="141"/>
      <c r="T108" s="457" t="s">
        <v>272</v>
      </c>
      <c r="U108" s="141"/>
      <c r="V108" s="457" t="s">
        <v>271</v>
      </c>
      <c r="W108" s="141"/>
      <c r="X108" s="457" t="s">
        <v>273</v>
      </c>
      <c r="Y108" s="457" t="s">
        <v>274</v>
      </c>
      <c r="Z108" s="457" t="str">
        <f t="shared" si="38"/>
        <v/>
      </c>
      <c r="AA108" s="458" t="s">
        <v>275</v>
      </c>
      <c r="AB108" s="459" t="str">
        <f t="shared" si="39"/>
        <v/>
      </c>
      <c r="AC108" s="460" t="str">
        <f>IFERROR(ROUNDDOWN(ROUNDDOWN(ROUND(L108*VLOOKUP(K108,【参考】数式用!$A$2:$M$57,MATCH("処遇改善加算Ⅳ",【参考】数式用!$G$3:$M$3,0)+6,0),0)*M108,0)*Z108*0.5,0), "")</f>
        <v/>
      </c>
      <c r="AD108" s="156"/>
      <c r="AE108" s="157"/>
      <c r="AF108" s="157"/>
      <c r="AG108" s="158"/>
      <c r="AH108" s="159"/>
      <c r="AI108" s="160"/>
      <c r="AJ108" s="161"/>
      <c r="AK108" s="542" t="str">
        <f t="shared" si="47"/>
        <v/>
      </c>
      <c r="AL108" s="543" t="str">
        <f t="shared" si="40"/>
        <v/>
      </c>
      <c r="AM108" s="544"/>
      <c r="AN108" s="545" t="str">
        <f>IFERROR(VLOOKUP(K108,【参考】数式用!$A$2:$N$57,14,FALSE),"")</f>
        <v/>
      </c>
      <c r="AO108" s="545" t="str">
        <f t="shared" si="48"/>
        <v/>
      </c>
      <c r="AP108" s="546" t="str">
        <f t="shared" si="49"/>
        <v/>
      </c>
      <c r="AQ108" s="546" t="str">
        <f t="shared" si="50"/>
        <v>キャリアパス要件Ⅰ・Ⅱ_</v>
      </c>
      <c r="AR108" s="547" t="str">
        <f t="shared" si="51"/>
        <v>入力済</v>
      </c>
      <c r="AS108" s="545" t="str">
        <f t="shared" si="52"/>
        <v/>
      </c>
      <c r="AT108" s="547" t="str">
        <f t="shared" si="53"/>
        <v>入力済</v>
      </c>
      <c r="AU108" s="547" t="str">
        <f t="shared" si="54"/>
        <v/>
      </c>
      <c r="AV108" s="547" t="str">
        <f t="shared" si="55"/>
        <v/>
      </c>
      <c r="AW108" s="545" t="str">
        <f t="shared" si="56"/>
        <v/>
      </c>
      <c r="AX108" s="545" t="str">
        <f t="shared" si="41"/>
        <v>入力済</v>
      </c>
      <c r="AY108" s="547" t="str">
        <f>IFERROR(VLOOKUP(K108,【参考】数式用!$AR$3:$AS$49, 2, FALSE), "")</f>
        <v/>
      </c>
      <c r="AZ108" s="545" t="str">
        <f t="shared" si="57"/>
        <v/>
      </c>
      <c r="BA108" s="548" t="str">
        <f t="shared" si="58"/>
        <v>入力済</v>
      </c>
      <c r="BB108" s="547" t="str">
        <f>IFERROR(VLOOKUP(K108,【参考】数式用!$AX$3:$AY$56, 2, FALSE), "")</f>
        <v/>
      </c>
      <c r="BC108" s="545" t="str">
        <f t="shared" si="42"/>
        <v/>
      </c>
      <c r="BD108" s="548" t="str">
        <f t="shared" si="37"/>
        <v>入力済</v>
      </c>
      <c r="BE108" s="548" t="str">
        <f t="shared" si="43"/>
        <v/>
      </c>
      <c r="BF108" s="548" t="str">
        <f t="shared" si="44"/>
        <v/>
      </c>
      <c r="BG108" s="548" t="str">
        <f t="shared" si="45"/>
        <v/>
      </c>
      <c r="BH108" s="548" t="str">
        <f t="shared" si="46"/>
        <v/>
      </c>
      <c r="BI108" s="548" t="str">
        <f t="shared" si="59"/>
        <v/>
      </c>
      <c r="BM108" s="634" t="e">
        <f>VLOOKUP(K108,【参考】数式用!$A$2:$O$57,15,FALSE)</f>
        <v>#N/A</v>
      </c>
    </row>
    <row r="109" spans="1:65" ht="109.9" customHeight="1" thickBot="1">
      <c r="A109" s="454">
        <v>98</v>
      </c>
      <c r="B109" s="933" t="str">
        <f>IF(基本情報入力シート!B137="","",基本情報入力シート!B137)</f>
        <v/>
      </c>
      <c r="C109" s="934"/>
      <c r="D109" s="934"/>
      <c r="E109" s="934"/>
      <c r="F109" s="935"/>
      <c r="G109" s="455" t="str">
        <f>IF(基本情報入力シート!L137="", "", 基本情報入力シート!L137)</f>
        <v/>
      </c>
      <c r="H109" s="455" t="str">
        <f>IF(基本情報入力シート!Q137="", "", 基本情報入力シート!Q137)</f>
        <v/>
      </c>
      <c r="I109" s="455" t="str">
        <f>IF(基本情報入力シート!V137="", "", 基本情報入力シート!V137)</f>
        <v/>
      </c>
      <c r="J109" s="455" t="str">
        <f>IF(基本情報入力シート!W137="", "", 基本情報入力シート!W137)</f>
        <v/>
      </c>
      <c r="K109" s="455" t="str">
        <f>IF(基本情報入力シート!Z137="", "", 基本情報入力シート!Z137)</f>
        <v/>
      </c>
      <c r="L109" s="101" t="str">
        <f>IF(基本情報入力シート!AF137=0, "",基本情報入力シート!AF137)</f>
        <v/>
      </c>
      <c r="M109" s="142" t="str">
        <f>IF(AND(基本情報入力シート!AG137="",基本情報入力シート!AG137=""), "", 基本情報入力シート!AG137)</f>
        <v/>
      </c>
      <c r="N109" s="136"/>
      <c r="O109" s="155" t="str">
        <f>IFERROR(VLOOKUP(K109,【参考】数式用!$A$2:$M$57,MATCH(N109,【参考】数式用!$G$3:$M$3,0)+6,0),"")</f>
        <v/>
      </c>
      <c r="P109" s="456" t="s">
        <v>180</v>
      </c>
      <c r="Q109" s="141"/>
      <c r="R109" s="457" t="s">
        <v>271</v>
      </c>
      <c r="S109" s="141"/>
      <c r="T109" s="457" t="s">
        <v>272</v>
      </c>
      <c r="U109" s="141"/>
      <c r="V109" s="457" t="s">
        <v>271</v>
      </c>
      <c r="W109" s="141"/>
      <c r="X109" s="457" t="s">
        <v>273</v>
      </c>
      <c r="Y109" s="457" t="s">
        <v>274</v>
      </c>
      <c r="Z109" s="457" t="str">
        <f t="shared" si="38"/>
        <v/>
      </c>
      <c r="AA109" s="458" t="s">
        <v>275</v>
      </c>
      <c r="AB109" s="459" t="str">
        <f t="shared" si="39"/>
        <v/>
      </c>
      <c r="AC109" s="460" t="str">
        <f>IFERROR(ROUNDDOWN(ROUNDDOWN(ROUND(L109*VLOOKUP(K109,【参考】数式用!$A$2:$M$57,MATCH("処遇改善加算Ⅳ",【参考】数式用!$G$3:$M$3,0)+6,0),0)*M109,0)*Z109*0.5,0), "")</f>
        <v/>
      </c>
      <c r="AD109" s="156"/>
      <c r="AE109" s="157"/>
      <c r="AF109" s="157"/>
      <c r="AG109" s="158"/>
      <c r="AH109" s="159"/>
      <c r="AI109" s="160"/>
      <c r="AJ109" s="161"/>
      <c r="AK109" s="542" t="str">
        <f t="shared" si="47"/>
        <v/>
      </c>
      <c r="AL109" s="543" t="str">
        <f t="shared" si="40"/>
        <v/>
      </c>
      <c r="AM109" s="544"/>
      <c r="AN109" s="545" t="str">
        <f>IFERROR(VLOOKUP(K109,【参考】数式用!$A$2:$N$57,14,FALSE),"")</f>
        <v/>
      </c>
      <c r="AO109" s="545" t="str">
        <f t="shared" si="48"/>
        <v/>
      </c>
      <c r="AP109" s="546" t="str">
        <f t="shared" si="49"/>
        <v/>
      </c>
      <c r="AQ109" s="546" t="str">
        <f t="shared" si="50"/>
        <v>キャリアパス要件Ⅰ・Ⅱ_</v>
      </c>
      <c r="AR109" s="547" t="str">
        <f t="shared" si="51"/>
        <v>入力済</v>
      </c>
      <c r="AS109" s="545" t="str">
        <f t="shared" si="52"/>
        <v/>
      </c>
      <c r="AT109" s="547" t="str">
        <f t="shared" si="53"/>
        <v>入力済</v>
      </c>
      <c r="AU109" s="547" t="str">
        <f t="shared" si="54"/>
        <v/>
      </c>
      <c r="AV109" s="547" t="str">
        <f t="shared" si="55"/>
        <v/>
      </c>
      <c r="AW109" s="545" t="str">
        <f t="shared" si="56"/>
        <v/>
      </c>
      <c r="AX109" s="545" t="str">
        <f t="shared" si="41"/>
        <v>入力済</v>
      </c>
      <c r="AY109" s="547" t="str">
        <f>IFERROR(VLOOKUP(K109,【参考】数式用!$AR$3:$AS$49, 2, FALSE), "")</f>
        <v/>
      </c>
      <c r="AZ109" s="545" t="str">
        <f t="shared" si="57"/>
        <v/>
      </c>
      <c r="BA109" s="548" t="str">
        <f t="shared" si="58"/>
        <v>入力済</v>
      </c>
      <c r="BB109" s="547" t="str">
        <f>IFERROR(VLOOKUP(K109,【参考】数式用!$AX$3:$AY$56, 2, FALSE), "")</f>
        <v/>
      </c>
      <c r="BC109" s="545" t="str">
        <f t="shared" si="42"/>
        <v/>
      </c>
      <c r="BD109" s="548" t="str">
        <f t="shared" si="37"/>
        <v>入力済</v>
      </c>
      <c r="BE109" s="548" t="str">
        <f t="shared" si="43"/>
        <v/>
      </c>
      <c r="BF109" s="548" t="str">
        <f t="shared" si="44"/>
        <v/>
      </c>
      <c r="BG109" s="548" t="str">
        <f t="shared" si="45"/>
        <v/>
      </c>
      <c r="BH109" s="548" t="str">
        <f t="shared" si="46"/>
        <v/>
      </c>
      <c r="BI109" s="548" t="str">
        <f t="shared" si="59"/>
        <v/>
      </c>
      <c r="BM109" s="634" t="e">
        <f>VLOOKUP(K109,【参考】数式用!$A$2:$O$57,15,FALSE)</f>
        <v>#N/A</v>
      </c>
    </row>
    <row r="110" spans="1:65" ht="109.9" customHeight="1" thickBot="1">
      <c r="A110" s="454">
        <v>99</v>
      </c>
      <c r="B110" s="933" t="str">
        <f>IF(基本情報入力シート!B138="","",基本情報入力シート!B138)</f>
        <v/>
      </c>
      <c r="C110" s="934"/>
      <c r="D110" s="934"/>
      <c r="E110" s="934"/>
      <c r="F110" s="935"/>
      <c r="G110" s="455" t="str">
        <f>IF(基本情報入力シート!L138="", "", 基本情報入力シート!L138)</f>
        <v/>
      </c>
      <c r="H110" s="455" t="str">
        <f>IF(基本情報入力シート!Q138="", "", 基本情報入力シート!Q138)</f>
        <v/>
      </c>
      <c r="I110" s="455" t="str">
        <f>IF(基本情報入力シート!V138="", "", 基本情報入力シート!V138)</f>
        <v/>
      </c>
      <c r="J110" s="455" t="str">
        <f>IF(基本情報入力シート!W138="", "", 基本情報入力シート!W138)</f>
        <v/>
      </c>
      <c r="K110" s="455" t="str">
        <f>IF(基本情報入力シート!Z138="", "", 基本情報入力シート!Z138)</f>
        <v/>
      </c>
      <c r="L110" s="101" t="str">
        <f>IF(基本情報入力シート!AF138=0, "",基本情報入力シート!AF138)</f>
        <v/>
      </c>
      <c r="M110" s="142" t="str">
        <f>IF(AND(基本情報入力シート!AG138="",基本情報入力シート!AG138=""), "", 基本情報入力シート!AG138)</f>
        <v/>
      </c>
      <c r="N110" s="136"/>
      <c r="O110" s="155" t="str">
        <f>IFERROR(VLOOKUP(K110,【参考】数式用!$A$2:$M$57,MATCH(N110,【参考】数式用!$G$3:$M$3,0)+6,0),"")</f>
        <v/>
      </c>
      <c r="P110" s="456" t="s">
        <v>180</v>
      </c>
      <c r="Q110" s="141"/>
      <c r="R110" s="457" t="s">
        <v>271</v>
      </c>
      <c r="S110" s="141"/>
      <c r="T110" s="457" t="s">
        <v>272</v>
      </c>
      <c r="U110" s="141"/>
      <c r="V110" s="457" t="s">
        <v>271</v>
      </c>
      <c r="W110" s="141"/>
      <c r="X110" s="457" t="s">
        <v>273</v>
      </c>
      <c r="Y110" s="457" t="s">
        <v>274</v>
      </c>
      <c r="Z110" s="457" t="str">
        <f t="shared" si="38"/>
        <v/>
      </c>
      <c r="AA110" s="458" t="s">
        <v>275</v>
      </c>
      <c r="AB110" s="459" t="str">
        <f t="shared" si="39"/>
        <v/>
      </c>
      <c r="AC110" s="460" t="str">
        <f>IFERROR(ROUNDDOWN(ROUNDDOWN(ROUND(L110*VLOOKUP(K110,【参考】数式用!$A$2:$M$57,MATCH("処遇改善加算Ⅳ",【参考】数式用!$G$3:$M$3,0)+6,0),0)*M110,0)*Z110*0.5,0), "")</f>
        <v/>
      </c>
      <c r="AD110" s="156"/>
      <c r="AE110" s="157"/>
      <c r="AF110" s="157"/>
      <c r="AG110" s="158"/>
      <c r="AH110" s="159"/>
      <c r="AI110" s="160"/>
      <c r="AJ110" s="161"/>
      <c r="AK110" s="542" t="str">
        <f t="shared" si="47"/>
        <v/>
      </c>
      <c r="AL110" s="543" t="str">
        <f t="shared" si="40"/>
        <v/>
      </c>
      <c r="AM110" s="544"/>
      <c r="AN110" s="545" t="str">
        <f>IFERROR(VLOOKUP(K110,【参考】数式用!$A$2:$N$57,14,FALSE),"")</f>
        <v/>
      </c>
      <c r="AO110" s="545" t="str">
        <f t="shared" si="48"/>
        <v/>
      </c>
      <c r="AP110" s="546" t="str">
        <f t="shared" si="49"/>
        <v/>
      </c>
      <c r="AQ110" s="546" t="str">
        <f t="shared" si="50"/>
        <v>キャリアパス要件Ⅰ・Ⅱ_</v>
      </c>
      <c r="AR110" s="547" t="str">
        <f t="shared" si="51"/>
        <v>入力済</v>
      </c>
      <c r="AS110" s="545" t="str">
        <f t="shared" si="52"/>
        <v/>
      </c>
      <c r="AT110" s="547" t="str">
        <f t="shared" si="53"/>
        <v>入力済</v>
      </c>
      <c r="AU110" s="547" t="str">
        <f t="shared" si="54"/>
        <v/>
      </c>
      <c r="AV110" s="547" t="str">
        <f t="shared" si="55"/>
        <v/>
      </c>
      <c r="AW110" s="545" t="str">
        <f t="shared" si="56"/>
        <v/>
      </c>
      <c r="AX110" s="545" t="str">
        <f t="shared" si="41"/>
        <v>入力済</v>
      </c>
      <c r="AY110" s="547" t="str">
        <f>IFERROR(VLOOKUP(K110,【参考】数式用!$AR$3:$AS$49, 2, FALSE), "")</f>
        <v/>
      </c>
      <c r="AZ110" s="545" t="str">
        <f t="shared" si="57"/>
        <v/>
      </c>
      <c r="BA110" s="548" t="str">
        <f t="shared" si="58"/>
        <v>入力済</v>
      </c>
      <c r="BB110" s="547" t="str">
        <f>IFERROR(VLOOKUP(K110,【参考】数式用!$AX$3:$AY$56, 2, FALSE), "")</f>
        <v/>
      </c>
      <c r="BC110" s="545" t="str">
        <f t="shared" si="42"/>
        <v/>
      </c>
      <c r="BD110" s="548" t="str">
        <f t="shared" si="37"/>
        <v>入力済</v>
      </c>
      <c r="BE110" s="548" t="str">
        <f t="shared" si="43"/>
        <v/>
      </c>
      <c r="BF110" s="548" t="str">
        <f t="shared" si="44"/>
        <v/>
      </c>
      <c r="BG110" s="548" t="str">
        <f t="shared" si="45"/>
        <v/>
      </c>
      <c r="BH110" s="548" t="str">
        <f t="shared" si="46"/>
        <v/>
      </c>
      <c r="BI110" s="548" t="str">
        <f t="shared" si="59"/>
        <v/>
      </c>
      <c r="BM110" s="634" t="e">
        <f>VLOOKUP(K110,【参考】数式用!$A$2:$O$57,15,FALSE)</f>
        <v>#N/A</v>
      </c>
    </row>
    <row r="111" spans="1:65" ht="109.9" customHeight="1" thickBot="1">
      <c r="A111" s="454">
        <v>100</v>
      </c>
      <c r="B111" s="980" t="str">
        <f>IF(基本情報入力シート!B139="","",基本情報入力シート!B139)</f>
        <v/>
      </c>
      <c r="C111" s="981"/>
      <c r="D111" s="981"/>
      <c r="E111" s="981"/>
      <c r="F111" s="982"/>
      <c r="G111" s="461" t="str">
        <f>IF(基本情報入力シート!L139="", "", 基本情報入力シート!L139)</f>
        <v/>
      </c>
      <c r="H111" s="461" t="str">
        <f>IF(基本情報入力シート!Q139="", "", 基本情報入力シート!Q139)</f>
        <v/>
      </c>
      <c r="I111" s="461" t="str">
        <f>IF(基本情報入力シート!V139="", "", 基本情報入力シート!V139)</f>
        <v/>
      </c>
      <c r="J111" s="461" t="str">
        <f>IF(基本情報入力シート!W139="", "", 基本情報入力シート!W139)</f>
        <v/>
      </c>
      <c r="K111" s="461" t="str">
        <f>IF(基本情報入力シート!Z139="", "", 基本情報入力シート!Z139)</f>
        <v/>
      </c>
      <c r="L111" s="162" t="str">
        <f>IF(基本情報入力シート!AF139=0, "",基本情報入力シート!AF139)</f>
        <v/>
      </c>
      <c r="M111" s="163" t="str">
        <f>IF(AND(基本情報入力シート!AG139="",基本情報入力シート!AG139=""), "", 基本情報入力シート!AG139)</f>
        <v/>
      </c>
      <c r="N111" s="136"/>
      <c r="O111" s="155" t="str">
        <f>IFERROR(VLOOKUP(K111,【参考】数式用!$A$2:$M$57,MATCH(N111,【参考】数式用!$G$3:$M$3,0)+6,0),"")</f>
        <v/>
      </c>
      <c r="P111" s="462" t="s">
        <v>180</v>
      </c>
      <c r="Q111" s="141"/>
      <c r="R111" s="463" t="s">
        <v>271</v>
      </c>
      <c r="S111" s="141"/>
      <c r="T111" s="463" t="s">
        <v>272</v>
      </c>
      <c r="U111" s="141"/>
      <c r="V111" s="463" t="s">
        <v>271</v>
      </c>
      <c r="W111" s="141"/>
      <c r="X111" s="463" t="s">
        <v>182</v>
      </c>
      <c r="Y111" s="463" t="s">
        <v>274</v>
      </c>
      <c r="Z111" s="457" t="str">
        <f t="shared" si="38"/>
        <v/>
      </c>
      <c r="AA111" s="464" t="s">
        <v>275</v>
      </c>
      <c r="AB111" s="459" t="str">
        <f t="shared" si="39"/>
        <v/>
      </c>
      <c r="AC111" s="460" t="str">
        <f>IFERROR(ROUNDDOWN(ROUNDDOWN(ROUND(L111*VLOOKUP(K111,【参考】数式用!$A$2:$M$57,MATCH("処遇改善加算Ⅳ",【参考】数式用!$G$3:$M$3,0)+6,0),0)*M111,0)*Z111*0.5,0), "")</f>
        <v/>
      </c>
      <c r="AD111" s="156"/>
      <c r="AE111" s="157"/>
      <c r="AF111" s="157"/>
      <c r="AG111" s="158"/>
      <c r="AH111" s="234"/>
      <c r="AI111" s="585"/>
      <c r="AJ111" s="167"/>
      <c r="AK111" s="542" t="str">
        <f t="shared" si="47"/>
        <v/>
      </c>
      <c r="AL111" s="543" t="str">
        <f t="shared" si="40"/>
        <v/>
      </c>
      <c r="AM111" s="544"/>
      <c r="AN111" s="548" t="str">
        <f>IFERROR(VLOOKUP(K111,【参考】数式用!$A$2:$N$57,14,FALSE),"")</f>
        <v/>
      </c>
      <c r="AO111" s="548" t="str">
        <f t="shared" si="48"/>
        <v/>
      </c>
      <c r="AP111" s="546" t="str">
        <f t="shared" si="49"/>
        <v/>
      </c>
      <c r="AQ111" s="546" t="str">
        <f t="shared" si="50"/>
        <v>キャリアパス要件Ⅰ・Ⅱ_</v>
      </c>
      <c r="AR111" s="547" t="str">
        <f t="shared" si="51"/>
        <v>入力済</v>
      </c>
      <c r="AS111" s="548" t="str">
        <f t="shared" si="52"/>
        <v/>
      </c>
      <c r="AT111" s="547" t="str">
        <f t="shared" si="53"/>
        <v>入力済</v>
      </c>
      <c r="AU111" s="547" t="str">
        <f t="shared" si="54"/>
        <v/>
      </c>
      <c r="AV111" s="547" t="str">
        <f t="shared" si="55"/>
        <v/>
      </c>
      <c r="AW111" s="548" t="str">
        <f t="shared" si="56"/>
        <v/>
      </c>
      <c r="AX111" s="548" t="str">
        <f t="shared" si="41"/>
        <v>入力済</v>
      </c>
      <c r="AY111" s="547" t="str">
        <f>IFERROR(VLOOKUP(K111,【参考】数式用!$AR$3:$AS$49, 2, FALSE), "")</f>
        <v/>
      </c>
      <c r="AZ111" s="548" t="str">
        <f t="shared" si="57"/>
        <v/>
      </c>
      <c r="BA111" s="548" t="str">
        <f t="shared" si="58"/>
        <v>入力済</v>
      </c>
      <c r="BB111" s="547" t="str">
        <f>IFERROR(VLOOKUP(K111,【参考】数式用!$AX$3:$AY$56, 2, FALSE), "")</f>
        <v/>
      </c>
      <c r="BC111" s="548" t="str">
        <f t="shared" si="42"/>
        <v/>
      </c>
      <c r="BD111" s="548" t="str">
        <f t="shared" si="37"/>
        <v>入力済</v>
      </c>
      <c r="BE111" s="548" t="str">
        <f t="shared" si="43"/>
        <v/>
      </c>
      <c r="BF111" s="548" t="str">
        <f t="shared" si="44"/>
        <v/>
      </c>
      <c r="BG111" s="548" t="str">
        <f t="shared" si="45"/>
        <v/>
      </c>
      <c r="BH111" s="548" t="str">
        <f t="shared" si="46"/>
        <v/>
      </c>
      <c r="BI111" s="548" t="str">
        <f t="shared" si="59"/>
        <v/>
      </c>
      <c r="BM111" s="634" t="e">
        <f>VLOOKUP(K111,【参考】数式用!$A$2:$O$57,15,FALSE)</f>
        <v>#N/A</v>
      </c>
    </row>
  </sheetData>
  <sheetProtection algorithmName="SHA-512" hashValue="21rBaBoCucjRWg7INs/F2JWO3+1pv7f8K1bzeIUinetCHLQDDL55E1YT6RmLCQ5A8YtT1piG7vaPcmiQ0Ilawg==" saltValue="XBI/A6cG5vhKVovWsMrgIw==" spinCount="100000" sheet="1" formatColumns="0" formatRows="0" sort="0" autoFilter="0"/>
  <dataConsolidate/>
  <mergeCells count="137">
    <mergeCell ref="A3:C3"/>
    <mergeCell ref="D3:J3"/>
    <mergeCell ref="AE4:AJ4"/>
    <mergeCell ref="L5:M5"/>
    <mergeCell ref="AE5:AI5"/>
    <mergeCell ref="BQ6:BS6"/>
    <mergeCell ref="AE7:AI7"/>
    <mergeCell ref="AR8:AY8"/>
    <mergeCell ref="BA8:BI8"/>
    <mergeCell ref="BK8:BL8"/>
    <mergeCell ref="BM8:BO8"/>
    <mergeCell ref="L6:M6"/>
    <mergeCell ref="AE6:AI6"/>
    <mergeCell ref="AY6:BI6"/>
    <mergeCell ref="BJ6:BM6"/>
    <mergeCell ref="BO6:BP6"/>
    <mergeCell ref="L7:M7"/>
    <mergeCell ref="A6:J6"/>
    <mergeCell ref="B7:J7"/>
    <mergeCell ref="A5:J5"/>
    <mergeCell ref="AC9:AD9"/>
    <mergeCell ref="AG9:AH9"/>
    <mergeCell ref="A10:A11"/>
    <mergeCell ref="B10:F11"/>
    <mergeCell ref="G10:G11"/>
    <mergeCell ref="H10:I10"/>
    <mergeCell ref="J10:J11"/>
    <mergeCell ref="K10:K11"/>
    <mergeCell ref="L10:L11"/>
    <mergeCell ref="M10:M11"/>
    <mergeCell ref="AK11:AL11"/>
    <mergeCell ref="B12:F12"/>
    <mergeCell ref="B13:F13"/>
    <mergeCell ref="B14:F14"/>
    <mergeCell ref="B16:F16"/>
    <mergeCell ref="B17:F17"/>
    <mergeCell ref="N10:N11"/>
    <mergeCell ref="O10:O11"/>
    <mergeCell ref="P10:AA11"/>
    <mergeCell ref="AB10:AB11"/>
    <mergeCell ref="AC10:AD10"/>
    <mergeCell ref="AG10:AH10"/>
    <mergeCell ref="B15:F15"/>
    <mergeCell ref="B24:F24"/>
    <mergeCell ref="B25:F25"/>
    <mergeCell ref="B26:F26"/>
    <mergeCell ref="B27:F27"/>
    <mergeCell ref="B28:F28"/>
    <mergeCell ref="B29:F29"/>
    <mergeCell ref="B18:F18"/>
    <mergeCell ref="B19:F19"/>
    <mergeCell ref="B20:F20"/>
    <mergeCell ref="B21:F21"/>
    <mergeCell ref="B22:F22"/>
    <mergeCell ref="B23:F23"/>
    <mergeCell ref="B36:F36"/>
    <mergeCell ref="B37:F37"/>
    <mergeCell ref="B38:F38"/>
    <mergeCell ref="B39:F39"/>
    <mergeCell ref="B40:F40"/>
    <mergeCell ref="B41:F41"/>
    <mergeCell ref="B30:F30"/>
    <mergeCell ref="B31:F31"/>
    <mergeCell ref="B32:F32"/>
    <mergeCell ref="B33:F33"/>
    <mergeCell ref="B34:F34"/>
    <mergeCell ref="B35:F35"/>
    <mergeCell ref="B48:F48"/>
    <mergeCell ref="B49:F49"/>
    <mergeCell ref="B50:F50"/>
    <mergeCell ref="B51:F51"/>
    <mergeCell ref="B52:F52"/>
    <mergeCell ref="B53:F53"/>
    <mergeCell ref="B42:F42"/>
    <mergeCell ref="B43:F43"/>
    <mergeCell ref="B44:F44"/>
    <mergeCell ref="B45:F45"/>
    <mergeCell ref="B46:F46"/>
    <mergeCell ref="B47:F47"/>
    <mergeCell ref="B60:F60"/>
    <mergeCell ref="B61:F61"/>
    <mergeCell ref="B62:F62"/>
    <mergeCell ref="B63:F63"/>
    <mergeCell ref="B64:F64"/>
    <mergeCell ref="B65:F65"/>
    <mergeCell ref="B54:F54"/>
    <mergeCell ref="B55:F55"/>
    <mergeCell ref="B56:F56"/>
    <mergeCell ref="B57:F57"/>
    <mergeCell ref="B58:F58"/>
    <mergeCell ref="B59:F59"/>
    <mergeCell ref="B72:F72"/>
    <mergeCell ref="B73:F73"/>
    <mergeCell ref="B74:F74"/>
    <mergeCell ref="B75:F75"/>
    <mergeCell ref="B76:F76"/>
    <mergeCell ref="B77:F77"/>
    <mergeCell ref="B66:F66"/>
    <mergeCell ref="B67:F67"/>
    <mergeCell ref="B68:F68"/>
    <mergeCell ref="B69:F69"/>
    <mergeCell ref="B70:F70"/>
    <mergeCell ref="B71:F71"/>
    <mergeCell ref="B84:F84"/>
    <mergeCell ref="B85:F85"/>
    <mergeCell ref="B86:F86"/>
    <mergeCell ref="B87:F87"/>
    <mergeCell ref="B88:F88"/>
    <mergeCell ref="B89:F89"/>
    <mergeCell ref="B78:F78"/>
    <mergeCell ref="B79:F79"/>
    <mergeCell ref="B80:F80"/>
    <mergeCell ref="B81:F81"/>
    <mergeCell ref="B82:F82"/>
    <mergeCell ref="B83:F83"/>
    <mergeCell ref="B108:F108"/>
    <mergeCell ref="B109:F109"/>
    <mergeCell ref="B110:F110"/>
    <mergeCell ref="B111:F111"/>
    <mergeCell ref="B102:F102"/>
    <mergeCell ref="B103:F103"/>
    <mergeCell ref="B104:F104"/>
    <mergeCell ref="B105:F105"/>
    <mergeCell ref="B106:F106"/>
    <mergeCell ref="B107:F107"/>
    <mergeCell ref="B96:F96"/>
    <mergeCell ref="B97:F97"/>
    <mergeCell ref="B98:F98"/>
    <mergeCell ref="B99:F99"/>
    <mergeCell ref="B100:F100"/>
    <mergeCell ref="B101:F101"/>
    <mergeCell ref="B90:F90"/>
    <mergeCell ref="B91:F91"/>
    <mergeCell ref="B92:F92"/>
    <mergeCell ref="B93:F93"/>
    <mergeCell ref="B94:F94"/>
    <mergeCell ref="B95:F95"/>
  </mergeCells>
  <phoneticPr fontId="12"/>
  <conditionalFormatting sqref="N12:N111">
    <cfRule type="expression" dxfId="12" priority="15">
      <formula>AO12=""</formula>
    </cfRule>
  </conditionalFormatting>
  <conditionalFormatting sqref="Q12:Q113">
    <cfRule type="expression" dxfId="11" priority="14">
      <formula>N12&lt;&gt;""</formula>
    </cfRule>
  </conditionalFormatting>
  <conditionalFormatting sqref="S12:S111">
    <cfRule type="expression" dxfId="10" priority="13">
      <formula>N12&lt;&gt;""</formula>
    </cfRule>
  </conditionalFormatting>
  <conditionalFormatting sqref="U12:U111">
    <cfRule type="expression" dxfId="9" priority="8">
      <formula>N12&lt;&gt;""</formula>
    </cfRule>
  </conditionalFormatting>
  <conditionalFormatting sqref="W12:W111">
    <cfRule type="expression" dxfId="8" priority="12">
      <formula>N12&lt;&gt;""</formula>
    </cfRule>
  </conditionalFormatting>
  <conditionalFormatting sqref="AD12:AD111">
    <cfRule type="expression" dxfId="7" priority="11">
      <formula>AND($N12&lt;&gt;"", $AC12&lt;&gt;0, $AC12&lt;&gt;"")</formula>
    </cfRule>
  </conditionalFormatting>
  <conditionalFormatting sqref="AE12:AE111">
    <cfRule type="expression" dxfId="6" priority="10">
      <formula>N12&lt;&gt;""</formula>
    </cfRule>
  </conditionalFormatting>
  <conditionalFormatting sqref="AF12:AF111">
    <cfRule type="expression" dxfId="5" priority="9">
      <formula>AS12="AF列に色付け"</formula>
    </cfRule>
  </conditionalFormatting>
  <conditionalFormatting sqref="AG12:AH111">
    <cfRule type="expression" dxfId="4" priority="17">
      <formula>AV12&lt;&gt;""</formula>
    </cfRule>
  </conditionalFormatting>
  <conditionalFormatting sqref="AI12:AI111">
    <cfRule type="expression" dxfId="3" priority="7">
      <formula>AZ12&lt;&gt;""</formula>
    </cfRule>
  </conditionalFormatting>
  <conditionalFormatting sqref="AJ9">
    <cfRule type="expression" dxfId="2" priority="1">
      <formula>$BJ$12=0</formula>
    </cfRule>
  </conditionalFormatting>
  <conditionalFormatting sqref="AJ12:AJ111">
    <cfRule type="expression" dxfId="1" priority="2">
      <formula>OR($BE12="AJ列色消し",$BF12="AJ列色消し")</formula>
    </cfRule>
    <cfRule type="expression" dxfId="0" priority="6">
      <formula>BC12&lt;&gt;""</formula>
    </cfRule>
  </conditionalFormatting>
  <dataValidations count="7">
    <dataValidation type="list" imeMode="halfAlpha" allowBlank="1" showDropDown="1" showInputMessage="1" showErrorMessage="1" error="このセルには１～３または６～12_x000a_の数字しか入力できません。" sqref="S12:S111 W12:W111" xr:uid="{C7FA9805-B5AA-4AAF-89B9-17EE2B9EE01C}">
      <formula1>"1,2,3,6,7,8,9,10,11,12"</formula1>
    </dataValidation>
    <dataValidation type="list" imeMode="halfAlpha" allowBlank="1" showDropDown="1" showInputMessage="1" showErrorMessage="1" error="このセルには８または９しか入力できません。" sqref="Q12:Q113 U12:U111" xr:uid="{0C8DD7D5-FCFD-45CC-A338-6FF99DD2B877}">
      <formula1>"8,9"</formula1>
    </dataValidation>
    <dataValidation imeMode="halfAlpha" allowBlank="1" showInputMessage="1" showErrorMessage="1" sqref="M12:M111 G12:K111 B12:B111" xr:uid="{30518E50-6C4D-488A-9C3F-8052BF457D84}"/>
    <dataValidation type="list" allowBlank="1" showInputMessage="1" showErrorMessage="1" sqref="AJ12:AJ111" xr:uid="{BF913E8E-8F8B-4877-93BB-7B28E665613D}">
      <formula1>INDIRECT(BB12)</formula1>
    </dataValidation>
    <dataValidation type="list" allowBlank="1" showInputMessage="1" showErrorMessage="1" sqref="AI12:AI111" xr:uid="{B544BD67-AEB7-4635-B56A-A0987106F95A}">
      <formula1>INDIRECT(AY12)</formula1>
    </dataValidation>
    <dataValidation type="list" allowBlank="1" showInputMessage="1" showErrorMessage="1" sqref="N12:N111" xr:uid="{ACF5DC94-597B-47DE-A84F-A5D253138ABB}">
      <formula1>INDIRECT(AN12)</formula1>
    </dataValidation>
    <dataValidation type="list" allowBlank="1" showInputMessage="1" showErrorMessage="1" sqref="AE12:AE111" xr:uid="{A49EB2B4-DE2B-4D70-B0DC-F2BB6149A89D}">
      <formula1>INDIRECT(AQ12)</formula1>
    </dataValidation>
  </dataValidations>
  <pageMargins left="0.70866141732283472" right="0.70866141732283472" top="0.74803149606299213" bottom="0.74803149606299213" header="0.31496062992125984" footer="0.31496062992125984"/>
  <pageSetup paperSize="9" scale="31"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4B25C1E-1FD3-438E-A385-5A6576212513}">
          <x14:formula1>
            <xm:f>【参考】数式用!$BF$2:$BF$3</xm:f>
          </x14:formula1>
          <xm:sqref>AD12:AD111</xm:sqref>
        </x14:dataValidation>
        <x14:dataValidation type="list" allowBlank="1" showInputMessage="1" showErrorMessage="1" xr:uid="{E005EFD7-A9A2-494A-AA34-D8B76A0A4D4E}">
          <x14:formula1>
            <xm:f>【参考】数式用!$BF$5:$BF$8</xm:f>
          </x14:formula1>
          <xm:sqref>AF12:AF111</xm:sqref>
        </x14:dataValidation>
        <x14:dataValidation type="list" allowBlank="1" showInputMessage="1" showErrorMessage="1" xr:uid="{F7A4CC3A-C59A-43A4-983B-2B64A10AE7B4}">
          <x14:formula1>
            <xm:f>【参考】数式用!$BF$22:$BF$25</xm:f>
          </x14:formula1>
          <xm:sqref>AH12:AH111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9A2AD-A113-4990-8922-CDFF650EE712}">
  <sheetPr codeName="Sheet1">
    <pageSetUpPr fitToPage="1"/>
  </sheetPr>
  <dimension ref="A1:J29"/>
  <sheetViews>
    <sheetView view="pageBreakPreview" zoomScale="56" zoomScaleNormal="80" workbookViewId="0">
      <selection activeCell="H22" sqref="H22"/>
    </sheetView>
  </sheetViews>
  <sheetFormatPr defaultColWidth="9.875" defaultRowHeight="13.5"/>
  <cols>
    <col min="1" max="1" width="7.5" style="581" customWidth="1"/>
    <col min="2" max="2" width="19.875" style="581" customWidth="1"/>
    <col min="3" max="3" width="37.5" style="581" customWidth="1"/>
    <col min="4" max="4" width="47.5" style="581" customWidth="1"/>
    <col min="5" max="5" width="42.5" style="581" customWidth="1"/>
    <col min="6" max="6" width="42.875" style="581" customWidth="1"/>
    <col min="7" max="7" width="16.5" style="581" customWidth="1"/>
    <col min="8" max="8" width="44.5" style="581" customWidth="1"/>
    <col min="9" max="9" width="40.5" style="581" customWidth="1"/>
    <col min="10" max="10" width="9.875" style="573"/>
    <col min="11" max="229" width="9.875" style="567"/>
    <col min="230" max="230" width="8.5" style="567" customWidth="1"/>
    <col min="231" max="231" width="14" style="567" customWidth="1"/>
    <col min="232" max="232" width="17.875" style="567" customWidth="1"/>
    <col min="233" max="233" width="45" style="567" bestFit="1" customWidth="1"/>
    <col min="234" max="234" width="61.5" style="567" customWidth="1"/>
    <col min="235" max="235" width="20.5" style="567" customWidth="1"/>
    <col min="236" max="236" width="22.875" style="567" customWidth="1"/>
    <col min="237" max="237" width="25.125" style="567" customWidth="1"/>
    <col min="238" max="485" width="9.875" style="567"/>
    <col min="486" max="486" width="8.5" style="567" customWidth="1"/>
    <col min="487" max="487" width="14" style="567" customWidth="1"/>
    <col min="488" max="488" width="17.875" style="567" customWidth="1"/>
    <col min="489" max="489" width="45" style="567" bestFit="1" customWidth="1"/>
    <col min="490" max="490" width="61.5" style="567" customWidth="1"/>
    <col min="491" max="491" width="20.5" style="567" customWidth="1"/>
    <col min="492" max="492" width="22.875" style="567" customWidth="1"/>
    <col min="493" max="493" width="25.125" style="567" customWidth="1"/>
    <col min="494" max="741" width="9.875" style="567"/>
    <col min="742" max="742" width="8.5" style="567" customWidth="1"/>
    <col min="743" max="743" width="14" style="567" customWidth="1"/>
    <col min="744" max="744" width="17.875" style="567" customWidth="1"/>
    <col min="745" max="745" width="45" style="567" bestFit="1" customWidth="1"/>
    <col min="746" max="746" width="61.5" style="567" customWidth="1"/>
    <col min="747" max="747" width="20.5" style="567" customWidth="1"/>
    <col min="748" max="748" width="22.875" style="567" customWidth="1"/>
    <col min="749" max="749" width="25.125" style="567" customWidth="1"/>
    <col min="750" max="997" width="9.875" style="567"/>
    <col min="998" max="998" width="8.5" style="567" customWidth="1"/>
    <col min="999" max="999" width="14" style="567" customWidth="1"/>
    <col min="1000" max="1000" width="17.875" style="567" customWidth="1"/>
    <col min="1001" max="1001" width="45" style="567" bestFit="1" customWidth="1"/>
    <col min="1002" max="1002" width="61.5" style="567" customWidth="1"/>
    <col min="1003" max="1003" width="20.5" style="567" customWidth="1"/>
    <col min="1004" max="1004" width="22.875" style="567" customWidth="1"/>
    <col min="1005" max="1005" width="25.125" style="567" customWidth="1"/>
    <col min="1006" max="1253" width="9.875" style="567"/>
    <col min="1254" max="1254" width="8.5" style="567" customWidth="1"/>
    <col min="1255" max="1255" width="14" style="567" customWidth="1"/>
    <col min="1256" max="1256" width="17.875" style="567" customWidth="1"/>
    <col min="1257" max="1257" width="45" style="567" bestFit="1" customWidth="1"/>
    <col min="1258" max="1258" width="61.5" style="567" customWidth="1"/>
    <col min="1259" max="1259" width="20.5" style="567" customWidth="1"/>
    <col min="1260" max="1260" width="22.875" style="567" customWidth="1"/>
    <col min="1261" max="1261" width="25.125" style="567" customWidth="1"/>
    <col min="1262" max="1509" width="9.875" style="567"/>
    <col min="1510" max="1510" width="8.5" style="567" customWidth="1"/>
    <col min="1511" max="1511" width="14" style="567" customWidth="1"/>
    <col min="1512" max="1512" width="17.875" style="567" customWidth="1"/>
    <col min="1513" max="1513" width="45" style="567" bestFit="1" customWidth="1"/>
    <col min="1514" max="1514" width="61.5" style="567" customWidth="1"/>
    <col min="1515" max="1515" width="20.5" style="567" customWidth="1"/>
    <col min="1516" max="1516" width="22.875" style="567" customWidth="1"/>
    <col min="1517" max="1517" width="25.125" style="567" customWidth="1"/>
    <col min="1518" max="1765" width="9.875" style="567"/>
    <col min="1766" max="1766" width="8.5" style="567" customWidth="1"/>
    <col min="1767" max="1767" width="14" style="567" customWidth="1"/>
    <col min="1768" max="1768" width="17.875" style="567" customWidth="1"/>
    <col min="1769" max="1769" width="45" style="567" bestFit="1" customWidth="1"/>
    <col min="1770" max="1770" width="61.5" style="567" customWidth="1"/>
    <col min="1771" max="1771" width="20.5" style="567" customWidth="1"/>
    <col min="1772" max="1772" width="22.875" style="567" customWidth="1"/>
    <col min="1773" max="1773" width="25.125" style="567" customWidth="1"/>
    <col min="1774" max="2021" width="9.875" style="567"/>
    <col min="2022" max="2022" width="8.5" style="567" customWidth="1"/>
    <col min="2023" max="2023" width="14" style="567" customWidth="1"/>
    <col min="2024" max="2024" width="17.875" style="567" customWidth="1"/>
    <col min="2025" max="2025" width="45" style="567" bestFit="1" customWidth="1"/>
    <col min="2026" max="2026" width="61.5" style="567" customWidth="1"/>
    <col min="2027" max="2027" width="20.5" style="567" customWidth="1"/>
    <col min="2028" max="2028" width="22.875" style="567" customWidth="1"/>
    <col min="2029" max="2029" width="25.125" style="567" customWidth="1"/>
    <col min="2030" max="2277" width="9.875" style="567"/>
    <col min="2278" max="2278" width="8.5" style="567" customWidth="1"/>
    <col min="2279" max="2279" width="14" style="567" customWidth="1"/>
    <col min="2280" max="2280" width="17.875" style="567" customWidth="1"/>
    <col min="2281" max="2281" width="45" style="567" bestFit="1" customWidth="1"/>
    <col min="2282" max="2282" width="61.5" style="567" customWidth="1"/>
    <col min="2283" max="2283" width="20.5" style="567" customWidth="1"/>
    <col min="2284" max="2284" width="22.875" style="567" customWidth="1"/>
    <col min="2285" max="2285" width="25.125" style="567" customWidth="1"/>
    <col min="2286" max="2533" width="9.875" style="567"/>
    <col min="2534" max="2534" width="8.5" style="567" customWidth="1"/>
    <col min="2535" max="2535" width="14" style="567" customWidth="1"/>
    <col min="2536" max="2536" width="17.875" style="567" customWidth="1"/>
    <col min="2537" max="2537" width="45" style="567" bestFit="1" customWidth="1"/>
    <col min="2538" max="2538" width="61.5" style="567" customWidth="1"/>
    <col min="2539" max="2539" width="20.5" style="567" customWidth="1"/>
    <col min="2540" max="2540" width="22.875" style="567" customWidth="1"/>
    <col min="2541" max="2541" width="25.125" style="567" customWidth="1"/>
    <col min="2542" max="2789" width="9.875" style="567"/>
    <col min="2790" max="2790" width="8.5" style="567" customWidth="1"/>
    <col min="2791" max="2791" width="14" style="567" customWidth="1"/>
    <col min="2792" max="2792" width="17.875" style="567" customWidth="1"/>
    <col min="2793" max="2793" width="45" style="567" bestFit="1" customWidth="1"/>
    <col min="2794" max="2794" width="61.5" style="567" customWidth="1"/>
    <col min="2795" max="2795" width="20.5" style="567" customWidth="1"/>
    <col min="2796" max="2796" width="22.875" style="567" customWidth="1"/>
    <col min="2797" max="2797" width="25.125" style="567" customWidth="1"/>
    <col min="2798" max="3045" width="9.875" style="567"/>
    <col min="3046" max="3046" width="8.5" style="567" customWidth="1"/>
    <col min="3047" max="3047" width="14" style="567" customWidth="1"/>
    <col min="3048" max="3048" width="17.875" style="567" customWidth="1"/>
    <col min="3049" max="3049" width="45" style="567" bestFit="1" customWidth="1"/>
    <col min="3050" max="3050" width="61.5" style="567" customWidth="1"/>
    <col min="3051" max="3051" width="20.5" style="567" customWidth="1"/>
    <col min="3052" max="3052" width="22.875" style="567" customWidth="1"/>
    <col min="3053" max="3053" width="25.125" style="567" customWidth="1"/>
    <col min="3054" max="3301" width="9.875" style="567"/>
    <col min="3302" max="3302" width="8.5" style="567" customWidth="1"/>
    <col min="3303" max="3303" width="14" style="567" customWidth="1"/>
    <col min="3304" max="3304" width="17.875" style="567" customWidth="1"/>
    <col min="3305" max="3305" width="45" style="567" bestFit="1" customWidth="1"/>
    <col min="3306" max="3306" width="61.5" style="567" customWidth="1"/>
    <col min="3307" max="3307" width="20.5" style="567" customWidth="1"/>
    <col min="3308" max="3308" width="22.875" style="567" customWidth="1"/>
    <col min="3309" max="3309" width="25.125" style="567" customWidth="1"/>
    <col min="3310" max="3557" width="9.875" style="567"/>
    <col min="3558" max="3558" width="8.5" style="567" customWidth="1"/>
    <col min="3559" max="3559" width="14" style="567" customWidth="1"/>
    <col min="3560" max="3560" width="17.875" style="567" customWidth="1"/>
    <col min="3561" max="3561" width="45" style="567" bestFit="1" customWidth="1"/>
    <col min="3562" max="3562" width="61.5" style="567" customWidth="1"/>
    <col min="3563" max="3563" width="20.5" style="567" customWidth="1"/>
    <col min="3564" max="3564" width="22.875" style="567" customWidth="1"/>
    <col min="3565" max="3565" width="25.125" style="567" customWidth="1"/>
    <col min="3566" max="3813" width="9.875" style="567"/>
    <col min="3814" max="3814" width="8.5" style="567" customWidth="1"/>
    <col min="3815" max="3815" width="14" style="567" customWidth="1"/>
    <col min="3816" max="3816" width="17.875" style="567" customWidth="1"/>
    <col min="3817" max="3817" width="45" style="567" bestFit="1" customWidth="1"/>
    <col min="3818" max="3818" width="61.5" style="567" customWidth="1"/>
    <col min="3819" max="3819" width="20.5" style="567" customWidth="1"/>
    <col min="3820" max="3820" width="22.875" style="567" customWidth="1"/>
    <col min="3821" max="3821" width="25.125" style="567" customWidth="1"/>
    <col min="3822" max="4069" width="9.875" style="567"/>
    <col min="4070" max="4070" width="8.5" style="567" customWidth="1"/>
    <col min="4071" max="4071" width="14" style="567" customWidth="1"/>
    <col min="4072" max="4072" width="17.875" style="567" customWidth="1"/>
    <col min="4073" max="4073" width="45" style="567" bestFit="1" customWidth="1"/>
    <col min="4074" max="4074" width="61.5" style="567" customWidth="1"/>
    <col min="4075" max="4075" width="20.5" style="567" customWidth="1"/>
    <col min="4076" max="4076" width="22.875" style="567" customWidth="1"/>
    <col min="4077" max="4077" width="25.125" style="567" customWidth="1"/>
    <col min="4078" max="4325" width="9.875" style="567"/>
    <col min="4326" max="4326" width="8.5" style="567" customWidth="1"/>
    <col min="4327" max="4327" width="14" style="567" customWidth="1"/>
    <col min="4328" max="4328" width="17.875" style="567" customWidth="1"/>
    <col min="4329" max="4329" width="45" style="567" bestFit="1" customWidth="1"/>
    <col min="4330" max="4330" width="61.5" style="567" customWidth="1"/>
    <col min="4331" max="4331" width="20.5" style="567" customWidth="1"/>
    <col min="4332" max="4332" width="22.875" style="567" customWidth="1"/>
    <col min="4333" max="4333" width="25.125" style="567" customWidth="1"/>
    <col min="4334" max="4581" width="9.875" style="567"/>
    <col min="4582" max="4582" width="8.5" style="567" customWidth="1"/>
    <col min="4583" max="4583" width="14" style="567" customWidth="1"/>
    <col min="4584" max="4584" width="17.875" style="567" customWidth="1"/>
    <col min="4585" max="4585" width="45" style="567" bestFit="1" customWidth="1"/>
    <col min="4586" max="4586" width="61.5" style="567" customWidth="1"/>
    <col min="4587" max="4587" width="20.5" style="567" customWidth="1"/>
    <col min="4588" max="4588" width="22.875" style="567" customWidth="1"/>
    <col min="4589" max="4589" width="25.125" style="567" customWidth="1"/>
    <col min="4590" max="4837" width="9.875" style="567"/>
    <col min="4838" max="4838" width="8.5" style="567" customWidth="1"/>
    <col min="4839" max="4839" width="14" style="567" customWidth="1"/>
    <col min="4840" max="4840" width="17.875" style="567" customWidth="1"/>
    <col min="4841" max="4841" width="45" style="567" bestFit="1" customWidth="1"/>
    <col min="4842" max="4842" width="61.5" style="567" customWidth="1"/>
    <col min="4843" max="4843" width="20.5" style="567" customWidth="1"/>
    <col min="4844" max="4844" width="22.875" style="567" customWidth="1"/>
    <col min="4845" max="4845" width="25.125" style="567" customWidth="1"/>
    <col min="4846" max="5093" width="9.875" style="567"/>
    <col min="5094" max="5094" width="8.5" style="567" customWidth="1"/>
    <col min="5095" max="5095" width="14" style="567" customWidth="1"/>
    <col min="5096" max="5096" width="17.875" style="567" customWidth="1"/>
    <col min="5097" max="5097" width="45" style="567" bestFit="1" customWidth="1"/>
    <col min="5098" max="5098" width="61.5" style="567" customWidth="1"/>
    <col min="5099" max="5099" width="20.5" style="567" customWidth="1"/>
    <col min="5100" max="5100" width="22.875" style="567" customWidth="1"/>
    <col min="5101" max="5101" width="25.125" style="567" customWidth="1"/>
    <col min="5102" max="5349" width="9.875" style="567"/>
    <col min="5350" max="5350" width="8.5" style="567" customWidth="1"/>
    <col min="5351" max="5351" width="14" style="567" customWidth="1"/>
    <col min="5352" max="5352" width="17.875" style="567" customWidth="1"/>
    <col min="5353" max="5353" width="45" style="567" bestFit="1" customWidth="1"/>
    <col min="5354" max="5354" width="61.5" style="567" customWidth="1"/>
    <col min="5355" max="5355" width="20.5" style="567" customWidth="1"/>
    <col min="5356" max="5356" width="22.875" style="567" customWidth="1"/>
    <col min="5357" max="5357" width="25.125" style="567" customWidth="1"/>
    <col min="5358" max="5605" width="9.875" style="567"/>
    <col min="5606" max="5606" width="8.5" style="567" customWidth="1"/>
    <col min="5607" max="5607" width="14" style="567" customWidth="1"/>
    <col min="5608" max="5608" width="17.875" style="567" customWidth="1"/>
    <col min="5609" max="5609" width="45" style="567" bestFit="1" customWidth="1"/>
    <col min="5610" max="5610" width="61.5" style="567" customWidth="1"/>
    <col min="5611" max="5611" width="20.5" style="567" customWidth="1"/>
    <col min="5612" max="5612" width="22.875" style="567" customWidth="1"/>
    <col min="5613" max="5613" width="25.125" style="567" customWidth="1"/>
    <col min="5614" max="5861" width="9.875" style="567"/>
    <col min="5862" max="5862" width="8.5" style="567" customWidth="1"/>
    <col min="5863" max="5863" width="14" style="567" customWidth="1"/>
    <col min="5864" max="5864" width="17.875" style="567" customWidth="1"/>
    <col min="5865" max="5865" width="45" style="567" bestFit="1" customWidth="1"/>
    <col min="5866" max="5866" width="61.5" style="567" customWidth="1"/>
    <col min="5867" max="5867" width="20.5" style="567" customWidth="1"/>
    <col min="5868" max="5868" width="22.875" style="567" customWidth="1"/>
    <col min="5869" max="5869" width="25.125" style="567" customWidth="1"/>
    <col min="5870" max="6117" width="9.875" style="567"/>
    <col min="6118" max="6118" width="8.5" style="567" customWidth="1"/>
    <col min="6119" max="6119" width="14" style="567" customWidth="1"/>
    <col min="6120" max="6120" width="17.875" style="567" customWidth="1"/>
    <col min="6121" max="6121" width="45" style="567" bestFit="1" customWidth="1"/>
    <col min="6122" max="6122" width="61.5" style="567" customWidth="1"/>
    <col min="6123" max="6123" width="20.5" style="567" customWidth="1"/>
    <col min="6124" max="6124" width="22.875" style="567" customWidth="1"/>
    <col min="6125" max="6125" width="25.125" style="567" customWidth="1"/>
    <col min="6126" max="6373" width="9.875" style="567"/>
    <col min="6374" max="6374" width="8.5" style="567" customWidth="1"/>
    <col min="6375" max="6375" width="14" style="567" customWidth="1"/>
    <col min="6376" max="6376" width="17.875" style="567" customWidth="1"/>
    <col min="6377" max="6377" width="45" style="567" bestFit="1" customWidth="1"/>
    <col min="6378" max="6378" width="61.5" style="567" customWidth="1"/>
    <col min="6379" max="6379" width="20.5" style="567" customWidth="1"/>
    <col min="6380" max="6380" width="22.875" style="567" customWidth="1"/>
    <col min="6381" max="6381" width="25.125" style="567" customWidth="1"/>
    <col min="6382" max="6629" width="9.875" style="567"/>
    <col min="6630" max="6630" width="8.5" style="567" customWidth="1"/>
    <col min="6631" max="6631" width="14" style="567" customWidth="1"/>
    <col min="6632" max="6632" width="17.875" style="567" customWidth="1"/>
    <col min="6633" max="6633" width="45" style="567" bestFit="1" customWidth="1"/>
    <col min="6634" max="6634" width="61.5" style="567" customWidth="1"/>
    <col min="6635" max="6635" width="20.5" style="567" customWidth="1"/>
    <col min="6636" max="6636" width="22.875" style="567" customWidth="1"/>
    <col min="6637" max="6637" width="25.125" style="567" customWidth="1"/>
    <col min="6638" max="6885" width="9.875" style="567"/>
    <col min="6886" max="6886" width="8.5" style="567" customWidth="1"/>
    <col min="6887" max="6887" width="14" style="567" customWidth="1"/>
    <col min="6888" max="6888" width="17.875" style="567" customWidth="1"/>
    <col min="6889" max="6889" width="45" style="567" bestFit="1" customWidth="1"/>
    <col min="6890" max="6890" width="61.5" style="567" customWidth="1"/>
    <col min="6891" max="6891" width="20.5" style="567" customWidth="1"/>
    <col min="6892" max="6892" width="22.875" style="567" customWidth="1"/>
    <col min="6893" max="6893" width="25.125" style="567" customWidth="1"/>
    <col min="6894" max="7141" width="9.875" style="567"/>
    <col min="7142" max="7142" width="8.5" style="567" customWidth="1"/>
    <col min="7143" max="7143" width="14" style="567" customWidth="1"/>
    <col min="7144" max="7144" width="17.875" style="567" customWidth="1"/>
    <col min="7145" max="7145" width="45" style="567" bestFit="1" customWidth="1"/>
    <col min="7146" max="7146" width="61.5" style="567" customWidth="1"/>
    <col min="7147" max="7147" width="20.5" style="567" customWidth="1"/>
    <col min="7148" max="7148" width="22.875" style="567" customWidth="1"/>
    <col min="7149" max="7149" width="25.125" style="567" customWidth="1"/>
    <col min="7150" max="7397" width="9.875" style="567"/>
    <col min="7398" max="7398" width="8.5" style="567" customWidth="1"/>
    <col min="7399" max="7399" width="14" style="567" customWidth="1"/>
    <col min="7400" max="7400" width="17.875" style="567" customWidth="1"/>
    <col min="7401" max="7401" width="45" style="567" bestFit="1" customWidth="1"/>
    <col min="7402" max="7402" width="61.5" style="567" customWidth="1"/>
    <col min="7403" max="7403" width="20.5" style="567" customWidth="1"/>
    <col min="7404" max="7404" width="22.875" style="567" customWidth="1"/>
    <col min="7405" max="7405" width="25.125" style="567" customWidth="1"/>
    <col min="7406" max="7653" width="9.875" style="567"/>
    <col min="7654" max="7654" width="8.5" style="567" customWidth="1"/>
    <col min="7655" max="7655" width="14" style="567" customWidth="1"/>
    <col min="7656" max="7656" width="17.875" style="567" customWidth="1"/>
    <col min="7657" max="7657" width="45" style="567" bestFit="1" customWidth="1"/>
    <col min="7658" max="7658" width="61.5" style="567" customWidth="1"/>
    <col min="7659" max="7659" width="20.5" style="567" customWidth="1"/>
    <col min="7660" max="7660" width="22.875" style="567" customWidth="1"/>
    <col min="7661" max="7661" width="25.125" style="567" customWidth="1"/>
    <col min="7662" max="7909" width="9.875" style="567"/>
    <col min="7910" max="7910" width="8.5" style="567" customWidth="1"/>
    <col min="7911" max="7911" width="14" style="567" customWidth="1"/>
    <col min="7912" max="7912" width="17.875" style="567" customWidth="1"/>
    <col min="7913" max="7913" width="45" style="567" bestFit="1" customWidth="1"/>
    <col min="7914" max="7914" width="61.5" style="567" customWidth="1"/>
    <col min="7915" max="7915" width="20.5" style="567" customWidth="1"/>
    <col min="7916" max="7916" width="22.875" style="567" customWidth="1"/>
    <col min="7917" max="7917" width="25.125" style="567" customWidth="1"/>
    <col min="7918" max="8165" width="9.875" style="567"/>
    <col min="8166" max="8166" width="8.5" style="567" customWidth="1"/>
    <col min="8167" max="8167" width="14" style="567" customWidth="1"/>
    <col min="8168" max="8168" width="17.875" style="567" customWidth="1"/>
    <col min="8169" max="8169" width="45" style="567" bestFit="1" customWidth="1"/>
    <col min="8170" max="8170" width="61.5" style="567" customWidth="1"/>
    <col min="8171" max="8171" width="20.5" style="567" customWidth="1"/>
    <col min="8172" max="8172" width="22.875" style="567" customWidth="1"/>
    <col min="8173" max="8173" width="25.125" style="567" customWidth="1"/>
    <col min="8174" max="8421" width="9.875" style="567"/>
    <col min="8422" max="8422" width="8.5" style="567" customWidth="1"/>
    <col min="8423" max="8423" width="14" style="567" customWidth="1"/>
    <col min="8424" max="8424" width="17.875" style="567" customWidth="1"/>
    <col min="8425" max="8425" width="45" style="567" bestFit="1" customWidth="1"/>
    <col min="8426" max="8426" width="61.5" style="567" customWidth="1"/>
    <col min="8427" max="8427" width="20.5" style="567" customWidth="1"/>
    <col min="8428" max="8428" width="22.875" style="567" customWidth="1"/>
    <col min="8429" max="8429" width="25.125" style="567" customWidth="1"/>
    <col min="8430" max="8677" width="9.875" style="567"/>
    <col min="8678" max="8678" width="8.5" style="567" customWidth="1"/>
    <col min="8679" max="8679" width="14" style="567" customWidth="1"/>
    <col min="8680" max="8680" width="17.875" style="567" customWidth="1"/>
    <col min="8681" max="8681" width="45" style="567" bestFit="1" customWidth="1"/>
    <col min="8682" max="8682" width="61.5" style="567" customWidth="1"/>
    <col min="8683" max="8683" width="20.5" style="567" customWidth="1"/>
    <col min="8684" max="8684" width="22.875" style="567" customWidth="1"/>
    <col min="8685" max="8685" width="25.125" style="567" customWidth="1"/>
    <col min="8686" max="8933" width="9.875" style="567"/>
    <col min="8934" max="8934" width="8.5" style="567" customWidth="1"/>
    <col min="8935" max="8935" width="14" style="567" customWidth="1"/>
    <col min="8936" max="8936" width="17.875" style="567" customWidth="1"/>
    <col min="8937" max="8937" width="45" style="567" bestFit="1" customWidth="1"/>
    <col min="8938" max="8938" width="61.5" style="567" customWidth="1"/>
    <col min="8939" max="8939" width="20.5" style="567" customWidth="1"/>
    <col min="8940" max="8940" width="22.875" style="567" customWidth="1"/>
    <col min="8941" max="8941" width="25.125" style="567" customWidth="1"/>
    <col min="8942" max="9189" width="9.875" style="567"/>
    <col min="9190" max="9190" width="8.5" style="567" customWidth="1"/>
    <col min="9191" max="9191" width="14" style="567" customWidth="1"/>
    <col min="9192" max="9192" width="17.875" style="567" customWidth="1"/>
    <col min="9193" max="9193" width="45" style="567" bestFit="1" customWidth="1"/>
    <col min="9194" max="9194" width="61.5" style="567" customWidth="1"/>
    <col min="9195" max="9195" width="20.5" style="567" customWidth="1"/>
    <col min="9196" max="9196" width="22.875" style="567" customWidth="1"/>
    <col min="9197" max="9197" width="25.125" style="567" customWidth="1"/>
    <col min="9198" max="9445" width="9.875" style="567"/>
    <col min="9446" max="9446" width="8.5" style="567" customWidth="1"/>
    <col min="9447" max="9447" width="14" style="567" customWidth="1"/>
    <col min="9448" max="9448" width="17.875" style="567" customWidth="1"/>
    <col min="9449" max="9449" width="45" style="567" bestFit="1" customWidth="1"/>
    <col min="9450" max="9450" width="61.5" style="567" customWidth="1"/>
    <col min="9451" max="9451" width="20.5" style="567" customWidth="1"/>
    <col min="9452" max="9452" width="22.875" style="567" customWidth="1"/>
    <col min="9453" max="9453" width="25.125" style="567" customWidth="1"/>
    <col min="9454" max="9701" width="9.875" style="567"/>
    <col min="9702" max="9702" width="8.5" style="567" customWidth="1"/>
    <col min="9703" max="9703" width="14" style="567" customWidth="1"/>
    <col min="9704" max="9704" width="17.875" style="567" customWidth="1"/>
    <col min="9705" max="9705" width="45" style="567" bestFit="1" customWidth="1"/>
    <col min="9706" max="9706" width="61.5" style="567" customWidth="1"/>
    <col min="9707" max="9707" width="20.5" style="567" customWidth="1"/>
    <col min="9708" max="9708" width="22.875" style="567" customWidth="1"/>
    <col min="9709" max="9709" width="25.125" style="567" customWidth="1"/>
    <col min="9710" max="9957" width="9.875" style="567"/>
    <col min="9958" max="9958" width="8.5" style="567" customWidth="1"/>
    <col min="9959" max="9959" width="14" style="567" customWidth="1"/>
    <col min="9960" max="9960" width="17.875" style="567" customWidth="1"/>
    <col min="9961" max="9961" width="45" style="567" bestFit="1" customWidth="1"/>
    <col min="9962" max="9962" width="61.5" style="567" customWidth="1"/>
    <col min="9963" max="9963" width="20.5" style="567" customWidth="1"/>
    <col min="9964" max="9964" width="22.875" style="567" customWidth="1"/>
    <col min="9965" max="9965" width="25.125" style="567" customWidth="1"/>
    <col min="9966" max="10213" width="9.875" style="567"/>
    <col min="10214" max="10214" width="8.5" style="567" customWidth="1"/>
    <col min="10215" max="10215" width="14" style="567" customWidth="1"/>
    <col min="10216" max="10216" width="17.875" style="567" customWidth="1"/>
    <col min="10217" max="10217" width="45" style="567" bestFit="1" customWidth="1"/>
    <col min="10218" max="10218" width="61.5" style="567" customWidth="1"/>
    <col min="10219" max="10219" width="20.5" style="567" customWidth="1"/>
    <col min="10220" max="10220" width="22.875" style="567" customWidth="1"/>
    <col min="10221" max="10221" width="25.125" style="567" customWidth="1"/>
    <col min="10222" max="10469" width="9.875" style="567"/>
    <col min="10470" max="10470" width="8.5" style="567" customWidth="1"/>
    <col min="10471" max="10471" width="14" style="567" customWidth="1"/>
    <col min="10472" max="10472" width="17.875" style="567" customWidth="1"/>
    <col min="10473" max="10473" width="45" style="567" bestFit="1" customWidth="1"/>
    <col min="10474" max="10474" width="61.5" style="567" customWidth="1"/>
    <col min="10475" max="10475" width="20.5" style="567" customWidth="1"/>
    <col min="10476" max="10476" width="22.875" style="567" customWidth="1"/>
    <col min="10477" max="10477" width="25.125" style="567" customWidth="1"/>
    <col min="10478" max="10725" width="9.875" style="567"/>
    <col min="10726" max="10726" width="8.5" style="567" customWidth="1"/>
    <col min="10727" max="10727" width="14" style="567" customWidth="1"/>
    <col min="10728" max="10728" width="17.875" style="567" customWidth="1"/>
    <col min="10729" max="10729" width="45" style="567" bestFit="1" customWidth="1"/>
    <col min="10730" max="10730" width="61.5" style="567" customWidth="1"/>
    <col min="10731" max="10731" width="20.5" style="567" customWidth="1"/>
    <col min="10732" max="10732" width="22.875" style="567" customWidth="1"/>
    <col min="10733" max="10733" width="25.125" style="567" customWidth="1"/>
    <col min="10734" max="10981" width="9.875" style="567"/>
    <col min="10982" max="10982" width="8.5" style="567" customWidth="1"/>
    <col min="10983" max="10983" width="14" style="567" customWidth="1"/>
    <col min="10984" max="10984" width="17.875" style="567" customWidth="1"/>
    <col min="10985" max="10985" width="45" style="567" bestFit="1" customWidth="1"/>
    <col min="10986" max="10986" width="61.5" style="567" customWidth="1"/>
    <col min="10987" max="10987" width="20.5" style="567" customWidth="1"/>
    <col min="10988" max="10988" width="22.875" style="567" customWidth="1"/>
    <col min="10989" max="10989" width="25.125" style="567" customWidth="1"/>
    <col min="10990" max="11237" width="9.875" style="567"/>
    <col min="11238" max="11238" width="8.5" style="567" customWidth="1"/>
    <col min="11239" max="11239" width="14" style="567" customWidth="1"/>
    <col min="11240" max="11240" width="17.875" style="567" customWidth="1"/>
    <col min="11241" max="11241" width="45" style="567" bestFit="1" customWidth="1"/>
    <col min="11242" max="11242" width="61.5" style="567" customWidth="1"/>
    <col min="11243" max="11243" width="20.5" style="567" customWidth="1"/>
    <col min="11244" max="11244" width="22.875" style="567" customWidth="1"/>
    <col min="11245" max="11245" width="25.125" style="567" customWidth="1"/>
    <col min="11246" max="11493" width="9.875" style="567"/>
    <col min="11494" max="11494" width="8.5" style="567" customWidth="1"/>
    <col min="11495" max="11495" width="14" style="567" customWidth="1"/>
    <col min="11496" max="11496" width="17.875" style="567" customWidth="1"/>
    <col min="11497" max="11497" width="45" style="567" bestFit="1" customWidth="1"/>
    <col min="11498" max="11498" width="61.5" style="567" customWidth="1"/>
    <col min="11499" max="11499" width="20.5" style="567" customWidth="1"/>
    <col min="11500" max="11500" width="22.875" style="567" customWidth="1"/>
    <col min="11501" max="11501" width="25.125" style="567" customWidth="1"/>
    <col min="11502" max="11749" width="9.875" style="567"/>
    <col min="11750" max="11750" width="8.5" style="567" customWidth="1"/>
    <col min="11751" max="11751" width="14" style="567" customWidth="1"/>
    <col min="11752" max="11752" width="17.875" style="567" customWidth="1"/>
    <col min="11753" max="11753" width="45" style="567" bestFit="1" customWidth="1"/>
    <col min="11754" max="11754" width="61.5" style="567" customWidth="1"/>
    <col min="11755" max="11755" width="20.5" style="567" customWidth="1"/>
    <col min="11756" max="11756" width="22.875" style="567" customWidth="1"/>
    <col min="11757" max="11757" width="25.125" style="567" customWidth="1"/>
    <col min="11758" max="12005" width="9.875" style="567"/>
    <col min="12006" max="12006" width="8.5" style="567" customWidth="1"/>
    <col min="12007" max="12007" width="14" style="567" customWidth="1"/>
    <col min="12008" max="12008" width="17.875" style="567" customWidth="1"/>
    <col min="12009" max="12009" width="45" style="567" bestFit="1" customWidth="1"/>
    <col min="12010" max="12010" width="61.5" style="567" customWidth="1"/>
    <col min="12011" max="12011" width="20.5" style="567" customWidth="1"/>
    <col min="12012" max="12012" width="22.875" style="567" customWidth="1"/>
    <col min="12013" max="12013" width="25.125" style="567" customWidth="1"/>
    <col min="12014" max="12261" width="9.875" style="567"/>
    <col min="12262" max="12262" width="8.5" style="567" customWidth="1"/>
    <col min="12263" max="12263" width="14" style="567" customWidth="1"/>
    <col min="12264" max="12264" width="17.875" style="567" customWidth="1"/>
    <col min="12265" max="12265" width="45" style="567" bestFit="1" customWidth="1"/>
    <col min="12266" max="12266" width="61.5" style="567" customWidth="1"/>
    <col min="12267" max="12267" width="20.5" style="567" customWidth="1"/>
    <col min="12268" max="12268" width="22.875" style="567" customWidth="1"/>
    <col min="12269" max="12269" width="25.125" style="567" customWidth="1"/>
    <col min="12270" max="12517" width="9.875" style="567"/>
    <col min="12518" max="12518" width="8.5" style="567" customWidth="1"/>
    <col min="12519" max="12519" width="14" style="567" customWidth="1"/>
    <col min="12520" max="12520" width="17.875" style="567" customWidth="1"/>
    <col min="12521" max="12521" width="45" style="567" bestFit="1" customWidth="1"/>
    <col min="12522" max="12522" width="61.5" style="567" customWidth="1"/>
    <col min="12523" max="12523" width="20.5" style="567" customWidth="1"/>
    <col min="12524" max="12524" width="22.875" style="567" customWidth="1"/>
    <col min="12525" max="12525" width="25.125" style="567" customWidth="1"/>
    <col min="12526" max="12773" width="9.875" style="567"/>
    <col min="12774" max="12774" width="8.5" style="567" customWidth="1"/>
    <col min="12775" max="12775" width="14" style="567" customWidth="1"/>
    <col min="12776" max="12776" width="17.875" style="567" customWidth="1"/>
    <col min="12777" max="12777" width="45" style="567" bestFit="1" customWidth="1"/>
    <col min="12778" max="12778" width="61.5" style="567" customWidth="1"/>
    <col min="12779" max="12779" width="20.5" style="567" customWidth="1"/>
    <col min="12780" max="12780" width="22.875" style="567" customWidth="1"/>
    <col min="12781" max="12781" width="25.125" style="567" customWidth="1"/>
    <col min="12782" max="13029" width="9.875" style="567"/>
    <col min="13030" max="13030" width="8.5" style="567" customWidth="1"/>
    <col min="13031" max="13031" width="14" style="567" customWidth="1"/>
    <col min="13032" max="13032" width="17.875" style="567" customWidth="1"/>
    <col min="13033" max="13033" width="45" style="567" bestFit="1" customWidth="1"/>
    <col min="13034" max="13034" width="61.5" style="567" customWidth="1"/>
    <col min="13035" max="13035" width="20.5" style="567" customWidth="1"/>
    <col min="13036" max="13036" width="22.875" style="567" customWidth="1"/>
    <col min="13037" max="13037" width="25.125" style="567" customWidth="1"/>
    <col min="13038" max="13285" width="9.875" style="567"/>
    <col min="13286" max="13286" width="8.5" style="567" customWidth="1"/>
    <col min="13287" max="13287" width="14" style="567" customWidth="1"/>
    <col min="13288" max="13288" width="17.875" style="567" customWidth="1"/>
    <col min="13289" max="13289" width="45" style="567" bestFit="1" customWidth="1"/>
    <col min="13290" max="13290" width="61.5" style="567" customWidth="1"/>
    <col min="13291" max="13291" width="20.5" style="567" customWidth="1"/>
    <col min="13292" max="13292" width="22.875" style="567" customWidth="1"/>
    <col min="13293" max="13293" width="25.125" style="567" customWidth="1"/>
    <col min="13294" max="13541" width="9.875" style="567"/>
    <col min="13542" max="13542" width="8.5" style="567" customWidth="1"/>
    <col min="13543" max="13543" width="14" style="567" customWidth="1"/>
    <col min="13544" max="13544" width="17.875" style="567" customWidth="1"/>
    <col min="13545" max="13545" width="45" style="567" bestFit="1" customWidth="1"/>
    <col min="13546" max="13546" width="61.5" style="567" customWidth="1"/>
    <col min="13547" max="13547" width="20.5" style="567" customWidth="1"/>
    <col min="13548" max="13548" width="22.875" style="567" customWidth="1"/>
    <col min="13549" max="13549" width="25.125" style="567" customWidth="1"/>
    <col min="13550" max="13797" width="9.875" style="567"/>
    <col min="13798" max="13798" width="8.5" style="567" customWidth="1"/>
    <col min="13799" max="13799" width="14" style="567" customWidth="1"/>
    <col min="13800" max="13800" width="17.875" style="567" customWidth="1"/>
    <col min="13801" max="13801" width="45" style="567" bestFit="1" customWidth="1"/>
    <col min="13802" max="13802" width="61.5" style="567" customWidth="1"/>
    <col min="13803" max="13803" width="20.5" style="567" customWidth="1"/>
    <col min="13804" max="13804" width="22.875" style="567" customWidth="1"/>
    <col min="13805" max="13805" width="25.125" style="567" customWidth="1"/>
    <col min="13806" max="14053" width="9.875" style="567"/>
    <col min="14054" max="14054" width="8.5" style="567" customWidth="1"/>
    <col min="14055" max="14055" width="14" style="567" customWidth="1"/>
    <col min="14056" max="14056" width="17.875" style="567" customWidth="1"/>
    <col min="14057" max="14057" width="45" style="567" bestFit="1" customWidth="1"/>
    <col min="14058" max="14058" width="61.5" style="567" customWidth="1"/>
    <col min="14059" max="14059" width="20.5" style="567" customWidth="1"/>
    <col min="14060" max="14060" width="22.875" style="567" customWidth="1"/>
    <col min="14061" max="14061" width="25.125" style="567" customWidth="1"/>
    <col min="14062" max="14309" width="9.875" style="567"/>
    <col min="14310" max="14310" width="8.5" style="567" customWidth="1"/>
    <col min="14311" max="14311" width="14" style="567" customWidth="1"/>
    <col min="14312" max="14312" width="17.875" style="567" customWidth="1"/>
    <col min="14313" max="14313" width="45" style="567" bestFit="1" customWidth="1"/>
    <col min="14314" max="14314" width="61.5" style="567" customWidth="1"/>
    <col min="14315" max="14315" width="20.5" style="567" customWidth="1"/>
    <col min="14316" max="14316" width="22.875" style="567" customWidth="1"/>
    <col min="14317" max="14317" width="25.125" style="567" customWidth="1"/>
    <col min="14318" max="14565" width="9.875" style="567"/>
    <col min="14566" max="14566" width="8.5" style="567" customWidth="1"/>
    <col min="14567" max="14567" width="14" style="567" customWidth="1"/>
    <col min="14568" max="14568" width="17.875" style="567" customWidth="1"/>
    <col min="14569" max="14569" width="45" style="567" bestFit="1" customWidth="1"/>
    <col min="14570" max="14570" width="61.5" style="567" customWidth="1"/>
    <col min="14571" max="14571" width="20.5" style="567" customWidth="1"/>
    <col min="14572" max="14572" width="22.875" style="567" customWidth="1"/>
    <col min="14573" max="14573" width="25.125" style="567" customWidth="1"/>
    <col min="14574" max="14821" width="9.875" style="567"/>
    <col min="14822" max="14822" width="8.5" style="567" customWidth="1"/>
    <col min="14823" max="14823" width="14" style="567" customWidth="1"/>
    <col min="14824" max="14824" width="17.875" style="567" customWidth="1"/>
    <col min="14825" max="14825" width="45" style="567" bestFit="1" customWidth="1"/>
    <col min="14826" max="14826" width="61.5" style="567" customWidth="1"/>
    <col min="14827" max="14827" width="20.5" style="567" customWidth="1"/>
    <col min="14828" max="14828" width="22.875" style="567" customWidth="1"/>
    <col min="14829" max="14829" width="25.125" style="567" customWidth="1"/>
    <col min="14830" max="15077" width="9.875" style="567"/>
    <col min="15078" max="15078" width="8.5" style="567" customWidth="1"/>
    <col min="15079" max="15079" width="14" style="567" customWidth="1"/>
    <col min="15080" max="15080" width="17.875" style="567" customWidth="1"/>
    <col min="15081" max="15081" width="45" style="567" bestFit="1" customWidth="1"/>
    <col min="15082" max="15082" width="61.5" style="567" customWidth="1"/>
    <col min="15083" max="15083" width="20.5" style="567" customWidth="1"/>
    <col min="15084" max="15084" width="22.875" style="567" customWidth="1"/>
    <col min="15085" max="15085" width="25.125" style="567" customWidth="1"/>
    <col min="15086" max="15333" width="9.875" style="567"/>
    <col min="15334" max="15334" width="8.5" style="567" customWidth="1"/>
    <col min="15335" max="15335" width="14" style="567" customWidth="1"/>
    <col min="15336" max="15336" width="17.875" style="567" customWidth="1"/>
    <col min="15337" max="15337" width="45" style="567" bestFit="1" customWidth="1"/>
    <col min="15338" max="15338" width="61.5" style="567" customWidth="1"/>
    <col min="15339" max="15339" width="20.5" style="567" customWidth="1"/>
    <col min="15340" max="15340" width="22.875" style="567" customWidth="1"/>
    <col min="15341" max="15341" width="25.125" style="567" customWidth="1"/>
    <col min="15342" max="15589" width="9.875" style="567"/>
    <col min="15590" max="15590" width="8.5" style="567" customWidth="1"/>
    <col min="15591" max="15591" width="14" style="567" customWidth="1"/>
    <col min="15592" max="15592" width="17.875" style="567" customWidth="1"/>
    <col min="15593" max="15593" width="45" style="567" bestFit="1" customWidth="1"/>
    <col min="15594" max="15594" width="61.5" style="567" customWidth="1"/>
    <col min="15595" max="15595" width="20.5" style="567" customWidth="1"/>
    <col min="15596" max="15596" width="22.875" style="567" customWidth="1"/>
    <col min="15597" max="15597" width="25.125" style="567" customWidth="1"/>
    <col min="15598" max="15845" width="9.875" style="567"/>
    <col min="15846" max="15846" width="8.5" style="567" customWidth="1"/>
    <col min="15847" max="15847" width="14" style="567" customWidth="1"/>
    <col min="15848" max="15848" width="17.875" style="567" customWidth="1"/>
    <col min="15849" max="15849" width="45" style="567" bestFit="1" customWidth="1"/>
    <col min="15850" max="15850" width="61.5" style="567" customWidth="1"/>
    <col min="15851" max="15851" width="20.5" style="567" customWidth="1"/>
    <col min="15852" max="15852" width="22.875" style="567" customWidth="1"/>
    <col min="15853" max="15853" width="25.125" style="567" customWidth="1"/>
    <col min="15854" max="16101" width="9.875" style="567"/>
    <col min="16102" max="16102" width="8.5" style="567" customWidth="1"/>
    <col min="16103" max="16103" width="14" style="567" customWidth="1"/>
    <col min="16104" max="16104" width="17.875" style="567" customWidth="1"/>
    <col min="16105" max="16105" width="45" style="567" bestFit="1" customWidth="1"/>
    <col min="16106" max="16106" width="61.5" style="567" customWidth="1"/>
    <col min="16107" max="16107" width="20.5" style="567" customWidth="1"/>
    <col min="16108" max="16108" width="22.875" style="567" customWidth="1"/>
    <col min="16109" max="16109" width="25.125" style="567" customWidth="1"/>
    <col min="16110" max="16384" width="9.875" style="567"/>
  </cols>
  <sheetData>
    <row r="1" spans="1:10" s="558" customFormat="1" ht="40.15" customHeight="1">
      <c r="A1" s="555" t="s">
        <v>290</v>
      </c>
      <c r="B1" s="556"/>
      <c r="C1" s="557"/>
      <c r="D1" s="557"/>
      <c r="E1" s="557"/>
      <c r="F1" s="557"/>
      <c r="G1" s="557"/>
      <c r="H1" s="557"/>
      <c r="I1" s="557"/>
      <c r="J1" s="557"/>
    </row>
    <row r="2" spans="1:10" s="560" customFormat="1" ht="19.899999999999999" customHeight="1">
      <c r="A2" s="555"/>
      <c r="B2" s="559"/>
      <c r="C2" s="557"/>
      <c r="D2" s="557"/>
      <c r="E2" s="557"/>
      <c r="F2" s="557"/>
      <c r="G2" s="557"/>
      <c r="H2" s="557"/>
      <c r="I2" s="557"/>
      <c r="J2" s="557"/>
    </row>
    <row r="3" spans="1:10" s="561" customFormat="1" ht="39.6" customHeight="1">
      <c r="A3" s="557"/>
      <c r="B3" s="1012" t="s">
        <v>291</v>
      </c>
      <c r="C3" s="1012"/>
      <c r="D3" s="1012"/>
      <c r="E3" s="1012"/>
      <c r="F3" s="1012"/>
      <c r="G3" s="1012"/>
      <c r="H3" s="1012"/>
      <c r="I3" s="1012"/>
      <c r="J3" s="557"/>
    </row>
    <row r="4" spans="1:10" s="560" customFormat="1" ht="25.15" customHeight="1">
      <c r="A4" s="557"/>
      <c r="B4" s="1009" t="s">
        <v>292</v>
      </c>
      <c r="C4" s="1010"/>
      <c r="D4" s="1010"/>
      <c r="E4" s="1010"/>
      <c r="F4" s="1010"/>
      <c r="G4" s="1010"/>
      <c r="H4" s="1010"/>
      <c r="I4" s="1011"/>
      <c r="J4" s="557"/>
    </row>
    <row r="5" spans="1:10" s="560" customFormat="1" ht="25.15" customHeight="1">
      <c r="A5" s="557"/>
      <c r="B5" s="562" t="s">
        <v>293</v>
      </c>
      <c r="C5" s="1009" t="s">
        <v>294</v>
      </c>
      <c r="D5" s="1010"/>
      <c r="E5" s="1010"/>
      <c r="F5" s="1010"/>
      <c r="G5" s="1010"/>
      <c r="H5" s="1010"/>
      <c r="I5" s="1011"/>
      <c r="J5" s="557"/>
    </row>
    <row r="6" spans="1:10" s="560" customFormat="1" ht="25.15" customHeight="1">
      <c r="A6" s="557"/>
      <c r="B6" s="562" t="s">
        <v>295</v>
      </c>
      <c r="C6" s="1009" t="s">
        <v>296</v>
      </c>
      <c r="D6" s="1010"/>
      <c r="E6" s="1010"/>
      <c r="F6" s="1010"/>
      <c r="G6" s="1010"/>
      <c r="H6" s="1010"/>
      <c r="I6" s="1011"/>
      <c r="J6" s="557"/>
    </row>
    <row r="7" spans="1:10" s="560" customFormat="1" ht="25.15" customHeight="1">
      <c r="A7" s="557"/>
      <c r="B7" s="562" t="s">
        <v>297</v>
      </c>
      <c r="C7" s="1009" t="s">
        <v>298</v>
      </c>
      <c r="D7" s="1010"/>
      <c r="E7" s="1010"/>
      <c r="F7" s="1010"/>
      <c r="G7" s="1010"/>
      <c r="H7" s="1010"/>
      <c r="I7" s="1011"/>
      <c r="J7" s="557"/>
    </row>
    <row r="8" spans="1:10" s="560" customFormat="1" ht="25.15" customHeight="1">
      <c r="A8" s="557"/>
      <c r="B8" s="563"/>
      <c r="C8" s="557"/>
      <c r="D8" s="564"/>
      <c r="E8" s="564"/>
      <c r="F8" s="564"/>
      <c r="G8" s="564"/>
      <c r="H8" s="564"/>
      <c r="I8" s="564"/>
      <c r="J8" s="557"/>
    </row>
    <row r="9" spans="1:10" s="560" customFormat="1" ht="36" customHeight="1">
      <c r="A9" s="557"/>
      <c r="B9" s="1012" t="s">
        <v>299</v>
      </c>
      <c r="C9" s="1012"/>
      <c r="D9" s="1012"/>
      <c r="E9" s="1012"/>
      <c r="F9" s="1012"/>
      <c r="G9" s="1012"/>
      <c r="H9" s="1012"/>
      <c r="I9" s="1012"/>
      <c r="J9" s="557"/>
    </row>
    <row r="10" spans="1:10" s="560" customFormat="1" ht="25.15" customHeight="1">
      <c r="A10" s="557"/>
      <c r="B10" s="1009" t="s">
        <v>300</v>
      </c>
      <c r="C10" s="1010"/>
      <c r="D10" s="1010"/>
      <c r="E10" s="1010"/>
      <c r="F10" s="1010"/>
      <c r="G10" s="1010"/>
      <c r="H10" s="1010"/>
      <c r="I10" s="1011"/>
      <c r="J10" s="557"/>
    </row>
    <row r="11" spans="1:10" s="560" customFormat="1" ht="56.45" customHeight="1">
      <c r="A11" s="557"/>
      <c r="B11" s="1013" t="s">
        <v>301</v>
      </c>
      <c r="C11" s="1006" t="s">
        <v>302</v>
      </c>
      <c r="D11" s="1007"/>
      <c r="E11" s="1007"/>
      <c r="F11" s="1007"/>
      <c r="G11" s="1007"/>
      <c r="H11" s="1007"/>
      <c r="I11" s="1008"/>
      <c r="J11" s="557"/>
    </row>
    <row r="12" spans="1:10" s="560" customFormat="1" ht="54.6" customHeight="1">
      <c r="A12" s="557"/>
      <c r="B12" s="1013"/>
      <c r="C12" s="1014" t="s">
        <v>303</v>
      </c>
      <c r="D12" s="562" t="s">
        <v>304</v>
      </c>
      <c r="E12" s="1006" t="s">
        <v>305</v>
      </c>
      <c r="F12" s="1007"/>
      <c r="G12" s="1007"/>
      <c r="H12" s="1007"/>
      <c r="I12" s="1008"/>
      <c r="J12" s="565"/>
    </row>
    <row r="13" spans="1:10" s="560" customFormat="1" ht="32.450000000000003" customHeight="1">
      <c r="A13" s="557"/>
      <c r="B13" s="1013"/>
      <c r="C13" s="1015"/>
      <c r="D13" s="562" t="s">
        <v>306</v>
      </c>
      <c r="E13" s="1006" t="s">
        <v>307</v>
      </c>
      <c r="F13" s="1007"/>
      <c r="G13" s="1007"/>
      <c r="H13" s="1007"/>
      <c r="I13" s="1008"/>
      <c r="J13" s="565"/>
    </row>
    <row r="14" spans="1:10" s="560" customFormat="1" ht="25.15" customHeight="1">
      <c r="A14" s="557"/>
      <c r="B14" s="562" t="s">
        <v>308</v>
      </c>
      <c r="C14" s="1009" t="s">
        <v>309</v>
      </c>
      <c r="D14" s="1010"/>
      <c r="E14" s="1010"/>
      <c r="F14" s="1010"/>
      <c r="G14" s="1010"/>
      <c r="H14" s="1010"/>
      <c r="I14" s="1011"/>
      <c r="J14" s="557"/>
    </row>
    <row r="15" spans="1:10" s="560" customFormat="1" ht="25.15" customHeight="1">
      <c r="A15" s="557"/>
      <c r="B15" s="557"/>
      <c r="C15" s="557"/>
      <c r="D15" s="557"/>
      <c r="E15" s="557"/>
      <c r="F15" s="557"/>
      <c r="G15" s="557"/>
      <c r="H15" s="557"/>
      <c r="I15" s="557"/>
      <c r="J15" s="557"/>
    </row>
    <row r="16" spans="1:10" ht="15.75" customHeight="1">
      <c r="A16" s="566"/>
      <c r="B16" s="566"/>
      <c r="C16" s="566"/>
      <c r="D16" s="566"/>
      <c r="E16" s="566"/>
      <c r="F16" s="566"/>
      <c r="G16" s="566"/>
      <c r="H16" s="566"/>
      <c r="I16" s="566"/>
      <c r="J16" s="566"/>
    </row>
    <row r="17" spans="1:10" ht="40.15" customHeight="1">
      <c r="A17" s="568" t="s">
        <v>310</v>
      </c>
      <c r="B17" s="569"/>
      <c r="C17" s="569"/>
      <c r="D17" s="569"/>
      <c r="E17" s="569"/>
      <c r="F17" s="569"/>
      <c r="G17" s="569"/>
      <c r="H17" s="569"/>
      <c r="I17" s="569"/>
      <c r="J17" s="570"/>
    </row>
    <row r="18" spans="1:10" ht="19.899999999999999" customHeight="1">
      <c r="A18" s="571"/>
      <c r="B18" s="572"/>
      <c r="C18" s="572"/>
      <c r="D18" s="572"/>
      <c r="E18" s="572"/>
      <c r="F18" s="572"/>
      <c r="G18" s="572"/>
      <c r="H18" s="572"/>
      <c r="I18" s="572"/>
    </row>
    <row r="19" spans="1:10" ht="40.15" customHeight="1">
      <c r="A19" s="574" t="s">
        <v>311</v>
      </c>
      <c r="B19" s="572"/>
      <c r="C19" s="575"/>
      <c r="D19" s="575"/>
      <c r="E19" s="572"/>
      <c r="F19" s="572"/>
      <c r="G19" s="572"/>
      <c r="H19" s="572"/>
      <c r="I19" s="572"/>
    </row>
    <row r="20" spans="1:10" ht="48">
      <c r="A20" s="1002" t="s">
        <v>312</v>
      </c>
      <c r="B20" s="1003"/>
      <c r="C20" s="576" t="s">
        <v>313</v>
      </c>
      <c r="D20" s="577" t="s">
        <v>314</v>
      </c>
      <c r="E20" s="577" t="s">
        <v>315</v>
      </c>
      <c r="F20" s="577" t="s">
        <v>316</v>
      </c>
      <c r="G20" s="573"/>
      <c r="H20" s="573"/>
      <c r="I20" s="573"/>
    </row>
    <row r="21" spans="1:10" ht="96">
      <c r="A21" s="1004" t="s">
        <v>317</v>
      </c>
      <c r="B21" s="1003"/>
      <c r="C21" s="578" t="s">
        <v>318</v>
      </c>
      <c r="D21" s="578" t="s">
        <v>319</v>
      </c>
      <c r="E21" s="578" t="s">
        <v>320</v>
      </c>
      <c r="F21" s="578" t="s">
        <v>321</v>
      </c>
      <c r="G21" s="573"/>
      <c r="H21" s="573"/>
      <c r="I21" s="573"/>
    </row>
    <row r="22" spans="1:10" ht="85.5">
      <c r="A22" s="1004" t="s">
        <v>322</v>
      </c>
      <c r="B22" s="1003"/>
      <c r="C22" s="578" t="s">
        <v>323</v>
      </c>
      <c r="D22" s="578" t="s">
        <v>324</v>
      </c>
      <c r="E22" s="578" t="s">
        <v>325</v>
      </c>
      <c r="F22" s="579" t="s">
        <v>326</v>
      </c>
      <c r="G22" s="572"/>
      <c r="H22" s="572"/>
      <c r="I22" s="572"/>
    </row>
    <row r="23" spans="1:10" ht="85.5">
      <c r="A23" s="1004" t="s">
        <v>327</v>
      </c>
      <c r="B23" s="1003"/>
      <c r="C23" s="578" t="s">
        <v>328</v>
      </c>
      <c r="D23" s="578" t="s">
        <v>329</v>
      </c>
      <c r="E23" s="578" t="s">
        <v>330</v>
      </c>
      <c r="F23" s="579" t="s">
        <v>331</v>
      </c>
      <c r="G23" s="572"/>
      <c r="H23" s="572"/>
      <c r="I23" s="572"/>
    </row>
    <row r="24" spans="1:10">
      <c r="A24" s="572"/>
      <c r="B24" s="572"/>
      <c r="C24" s="572"/>
      <c r="D24" s="572"/>
      <c r="E24" s="572"/>
      <c r="F24" s="572"/>
      <c r="G24" s="572"/>
      <c r="H24" s="572"/>
      <c r="I24" s="572"/>
    </row>
    <row r="25" spans="1:10" ht="24">
      <c r="A25" s="1005" t="s">
        <v>332</v>
      </c>
      <c r="B25" s="1005"/>
      <c r="C25" s="1005"/>
      <c r="D25" s="1005"/>
      <c r="E25" s="1005"/>
      <c r="F25" s="1005"/>
      <c r="G25" s="1005"/>
      <c r="H25" s="1005"/>
      <c r="I25" s="1005"/>
    </row>
    <row r="26" spans="1:10" ht="24">
      <c r="A26" s="580" t="s">
        <v>333</v>
      </c>
      <c r="B26" s="580"/>
      <c r="C26" s="580"/>
      <c r="D26" s="580"/>
      <c r="E26" s="580"/>
      <c r="F26" s="580"/>
      <c r="G26" s="580"/>
      <c r="H26" s="580"/>
      <c r="I26" s="580"/>
    </row>
    <row r="27" spans="1:10" ht="24">
      <c r="A27" s="999" t="s">
        <v>334</v>
      </c>
      <c r="B27" s="1000"/>
      <c r="C27" s="1000"/>
      <c r="D27" s="1000"/>
      <c r="E27" s="1000"/>
      <c r="F27" s="1000"/>
      <c r="G27" s="1000"/>
      <c r="H27" s="1000"/>
      <c r="I27" s="1001"/>
    </row>
    <row r="28" spans="1:10">
      <c r="A28" s="572"/>
      <c r="B28" s="572"/>
      <c r="C28" s="572"/>
      <c r="D28" s="572"/>
      <c r="E28" s="572"/>
      <c r="F28" s="572"/>
      <c r="G28" s="572"/>
      <c r="H28" s="572"/>
      <c r="I28" s="572"/>
    </row>
    <row r="29" spans="1:10">
      <c r="A29" s="572"/>
      <c r="B29" s="572"/>
      <c r="C29" s="572"/>
      <c r="D29" s="572"/>
      <c r="E29" s="572"/>
      <c r="F29" s="572"/>
      <c r="G29" s="572"/>
      <c r="H29" s="572"/>
      <c r="I29" s="572"/>
    </row>
  </sheetData>
  <mergeCells count="19">
    <mergeCell ref="C11:I11"/>
    <mergeCell ref="C14:I14"/>
    <mergeCell ref="B3:I3"/>
    <mergeCell ref="B9:I9"/>
    <mergeCell ref="B11:B13"/>
    <mergeCell ref="B4:I4"/>
    <mergeCell ref="C5:I5"/>
    <mergeCell ref="C6:I6"/>
    <mergeCell ref="C7:I7"/>
    <mergeCell ref="B10:I10"/>
    <mergeCell ref="C12:C13"/>
    <mergeCell ref="E12:I12"/>
    <mergeCell ref="E13:I13"/>
    <mergeCell ref="A27:I27"/>
    <mergeCell ref="A20:B20"/>
    <mergeCell ref="A21:B21"/>
    <mergeCell ref="A22:B22"/>
    <mergeCell ref="A23:B23"/>
    <mergeCell ref="A25:I25"/>
  </mergeCells>
  <phoneticPr fontId="12"/>
  <printOptions horizontalCentered="1"/>
  <pageMargins left="0.59055118110236227" right="0.59055118110236227" top="0.86614173228346458" bottom="0.39370078740157483" header="0.39370078740157483" footer="0.39370078740157483"/>
  <pageSetup paperSize="9" scale="44" fitToHeight="0" orientation="landscape" r:id="rId1"/>
  <rowBreaks count="1" manualBreakCount="1">
    <brk id="29"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60417-4CBB-40F9-B636-2DA8A646E5BE}">
  <sheetPr codeName="Sheet8">
    <pageSetUpPr fitToPage="1"/>
  </sheetPr>
  <dimension ref="A1:BH1749"/>
  <sheetViews>
    <sheetView zoomScale="85" zoomScaleNormal="100" zoomScaleSheetLayoutView="85" workbookViewId="0">
      <selection activeCell="BC15" sqref="BC15"/>
    </sheetView>
  </sheetViews>
  <sheetFormatPr defaultColWidth="9" defaultRowHeight="13.5"/>
  <cols>
    <col min="1" max="1" width="38.375" style="1" customWidth="1"/>
    <col min="2" max="2" width="3.875" style="1" customWidth="1"/>
    <col min="3" max="13" width="6.625" style="1" customWidth="1"/>
    <col min="14" max="14" width="7.875" style="1" customWidth="1"/>
    <col min="15" max="15" width="17.125" style="1" customWidth="1"/>
    <col min="16" max="16" width="2.5" style="1" customWidth="1"/>
    <col min="17" max="17" width="36.5" style="1" bestFit="1" customWidth="1"/>
    <col min="18" max="18" width="17.5" style="1" customWidth="1"/>
    <col min="19" max="19" width="2.625" style="1" customWidth="1"/>
    <col min="20" max="20" width="14.625" style="1" customWidth="1"/>
    <col min="21" max="21" width="2.875" style="1" customWidth="1"/>
    <col min="22" max="23" width="8.375" style="1" customWidth="1"/>
    <col min="24" max="24" width="1.75" style="1" customWidth="1"/>
    <col min="25" max="25" width="8.875" style="1" customWidth="1"/>
    <col min="26" max="26" width="13.5" style="1" customWidth="1"/>
    <col min="27" max="27" width="10.75" style="1" customWidth="1"/>
    <col min="28" max="28" width="18.125" style="1" customWidth="1"/>
    <col min="29" max="29" width="16.125" style="589" customWidth="1"/>
    <col min="30" max="30" width="12.125" style="1" customWidth="1"/>
    <col min="31" max="32" width="9" style="1"/>
    <col min="33" max="33" width="37.5" style="2" customWidth="1"/>
    <col min="34" max="34" width="9.25" style="1" customWidth="1"/>
    <col min="35" max="35" width="9" style="1"/>
    <col min="36" max="36" width="19.5" style="589" customWidth="1"/>
    <col min="37" max="38" width="9" style="589" hidden="1" customWidth="1"/>
    <col min="39" max="39" width="10.5" style="588" hidden="1" customWidth="1"/>
    <col min="40" max="40" width="10.5" style="588" customWidth="1"/>
    <col min="41" max="41" width="45.125" style="1" customWidth="1"/>
    <col min="42" max="42" width="9" style="1"/>
    <col min="43" max="43" width="3.125" style="1" customWidth="1"/>
    <col min="44" max="44" width="38.375" style="1" customWidth="1"/>
    <col min="45" max="45" width="46.125" style="1" customWidth="1"/>
    <col min="46" max="46" width="39.375" style="1" customWidth="1"/>
    <col min="47" max="47" width="39.625" style="1" customWidth="1"/>
    <col min="48" max="48" width="36.875" style="1" customWidth="1"/>
    <col min="49" max="49" width="2.25" style="1" customWidth="1"/>
    <col min="50" max="50" width="37.5" style="1" customWidth="1"/>
    <col min="51" max="51" width="47.375" style="1" customWidth="1"/>
    <col min="52" max="52" width="34.25" style="2" customWidth="1"/>
    <col min="53" max="53" width="36.875" style="1" customWidth="1"/>
    <col min="54" max="54" width="33.75" style="1" customWidth="1"/>
    <col min="55" max="55" width="32.5" style="1" customWidth="1"/>
    <col min="56" max="56" width="22.25" style="1" customWidth="1"/>
    <col min="57" max="57" width="9" style="1"/>
    <col min="58" max="58" width="88.5" style="1" customWidth="1"/>
    <col min="59" max="59" width="3.25" style="1" customWidth="1"/>
    <col min="60" max="60" width="13.125" style="1" bestFit="1" customWidth="1"/>
    <col min="61" max="16384" width="9" style="1"/>
  </cols>
  <sheetData>
    <row r="1" spans="1:60" ht="14.25" thickBot="1">
      <c r="A1" s="2" t="s">
        <v>335</v>
      </c>
      <c r="B1" s="2"/>
      <c r="C1" s="2"/>
      <c r="D1" s="2"/>
      <c r="E1" s="2"/>
      <c r="F1" s="2"/>
      <c r="G1" s="2"/>
      <c r="H1" s="2"/>
      <c r="I1" s="2"/>
      <c r="J1" s="2"/>
      <c r="K1" s="2"/>
      <c r="L1" s="2"/>
      <c r="M1" s="2"/>
      <c r="N1" s="2"/>
      <c r="O1" s="2"/>
      <c r="Q1" s="1" t="s">
        <v>336</v>
      </c>
      <c r="T1" s="2" t="s">
        <v>337</v>
      </c>
      <c r="V1" s="2" t="s">
        <v>338</v>
      </c>
      <c r="Y1" s="588" t="s">
        <v>339</v>
      </c>
      <c r="Z1" s="589"/>
      <c r="AA1" s="589"/>
      <c r="AB1" s="589"/>
      <c r="AD1" s="589"/>
      <c r="AE1" s="588"/>
      <c r="AG1" s="1"/>
      <c r="AJ1" s="2" t="s">
        <v>340</v>
      </c>
      <c r="AK1" s="2" t="s">
        <v>341</v>
      </c>
      <c r="AL1" s="2"/>
      <c r="AM1" s="2"/>
      <c r="AN1" s="2"/>
      <c r="AO1" s="2" t="s">
        <v>342</v>
      </c>
      <c r="AP1" s="2"/>
      <c r="AQ1" s="2"/>
      <c r="AR1" s="2" t="s">
        <v>343</v>
      </c>
      <c r="AS1" s="2"/>
      <c r="AT1" s="2"/>
      <c r="AU1" s="2"/>
      <c r="AV1" s="2"/>
      <c r="AX1" s="2" t="s">
        <v>344</v>
      </c>
      <c r="AY1" s="2"/>
      <c r="BA1" s="2"/>
      <c r="BB1" s="2"/>
      <c r="BC1" s="2"/>
      <c r="BD1" s="2"/>
      <c r="BF1" s="2" t="s">
        <v>345</v>
      </c>
      <c r="BH1" s="2" t="s">
        <v>346</v>
      </c>
    </row>
    <row r="2" spans="1:60" ht="14.25" thickBot="1">
      <c r="A2" s="1023" t="s">
        <v>347</v>
      </c>
      <c r="B2" s="1018" t="s">
        <v>348</v>
      </c>
      <c r="C2" s="1021" t="s">
        <v>349</v>
      </c>
      <c r="D2" s="1021"/>
      <c r="E2" s="1021"/>
      <c r="F2" s="1022"/>
      <c r="G2" s="1020" t="s">
        <v>350</v>
      </c>
      <c r="H2" s="1021"/>
      <c r="I2" s="1021"/>
      <c r="J2" s="1021"/>
      <c r="K2" s="1021"/>
      <c r="L2" s="1021"/>
      <c r="M2" s="1022"/>
      <c r="N2" s="1020" t="s">
        <v>351</v>
      </c>
      <c r="O2" s="1026" t="s">
        <v>352</v>
      </c>
      <c r="Q2" s="1028" t="s">
        <v>353</v>
      </c>
      <c r="R2" s="1029"/>
      <c r="T2" s="3" t="s">
        <v>48</v>
      </c>
      <c r="V2" s="3" t="s">
        <v>48</v>
      </c>
      <c r="W2" s="3" t="s">
        <v>354</v>
      </c>
      <c r="Y2" s="590" t="s">
        <v>355</v>
      </c>
      <c r="Z2" s="591" t="s">
        <v>356</v>
      </c>
      <c r="AA2" s="46" t="s">
        <v>48</v>
      </c>
      <c r="AB2" s="41" t="s">
        <v>357</v>
      </c>
      <c r="AC2" s="42" t="s">
        <v>358</v>
      </c>
      <c r="AD2" s="44">
        <v>0.7</v>
      </c>
      <c r="AE2" s="30">
        <v>0.55000000000000004</v>
      </c>
      <c r="AF2" s="67">
        <v>0.45</v>
      </c>
      <c r="AG2" s="590" t="s">
        <v>359</v>
      </c>
      <c r="AH2" s="592" t="s">
        <v>360</v>
      </c>
      <c r="AJ2" s="10" t="s">
        <v>361</v>
      </c>
      <c r="AK2" s="25" t="s">
        <v>362</v>
      </c>
      <c r="AL2" s="1"/>
      <c r="AM2" s="1"/>
      <c r="AN2" s="1"/>
      <c r="AO2" s="135" t="s">
        <v>347</v>
      </c>
      <c r="AP2" s="134" t="s">
        <v>363</v>
      </c>
      <c r="AQ2" s="93"/>
      <c r="AR2" s="127" t="s">
        <v>347</v>
      </c>
      <c r="AS2" s="217"/>
      <c r="AT2" s="128" t="s">
        <v>364</v>
      </c>
      <c r="AU2" s="222"/>
      <c r="AV2" s="129"/>
      <c r="AX2" s="203" t="s">
        <v>347</v>
      </c>
      <c r="AY2" s="204" t="s">
        <v>365</v>
      </c>
      <c r="AZ2" s="204"/>
      <c r="BA2" s="204"/>
      <c r="BB2" s="204"/>
      <c r="BC2" s="204"/>
      <c r="BD2" s="205"/>
      <c r="BF2" s="109" t="s">
        <v>366</v>
      </c>
      <c r="BH2" s="10" t="s">
        <v>361</v>
      </c>
    </row>
    <row r="3" spans="1:60" ht="23.25" thickBot="1">
      <c r="A3" s="1024"/>
      <c r="B3" s="1019"/>
      <c r="C3" s="618" t="s">
        <v>367</v>
      </c>
      <c r="D3" s="619" t="s">
        <v>368</v>
      </c>
      <c r="E3" s="619" t="s">
        <v>369</v>
      </c>
      <c r="F3" s="619" t="s">
        <v>370</v>
      </c>
      <c r="G3" s="618" t="s">
        <v>371</v>
      </c>
      <c r="H3" s="618" t="s">
        <v>372</v>
      </c>
      <c r="I3" s="619" t="s">
        <v>373</v>
      </c>
      <c r="J3" s="619" t="s">
        <v>374</v>
      </c>
      <c r="K3" s="619" t="s">
        <v>375</v>
      </c>
      <c r="L3" s="619" t="s">
        <v>376</v>
      </c>
      <c r="M3" s="620" t="s">
        <v>377</v>
      </c>
      <c r="N3" s="1025"/>
      <c r="O3" s="1027"/>
      <c r="P3" s="21"/>
      <c r="Q3" s="175" t="s">
        <v>378</v>
      </c>
      <c r="R3" s="176" t="s">
        <v>379</v>
      </c>
      <c r="S3" s="21"/>
      <c r="T3" s="6" t="s">
        <v>380</v>
      </c>
      <c r="V3" s="6" t="s">
        <v>380</v>
      </c>
      <c r="W3" s="6" t="s">
        <v>381</v>
      </c>
      <c r="Y3" s="593" t="s">
        <v>382</v>
      </c>
      <c r="Z3" s="594">
        <v>0.2</v>
      </c>
      <c r="AA3" s="38" t="s">
        <v>383</v>
      </c>
      <c r="AB3" s="50" t="s">
        <v>384</v>
      </c>
      <c r="AC3" s="54" t="str">
        <f>AA3&amp;AB3</f>
        <v>東京都千代田区</v>
      </c>
      <c r="AD3" s="55">
        <v>11.4</v>
      </c>
      <c r="AE3" s="56">
        <v>11.1</v>
      </c>
      <c r="AF3" s="86">
        <v>10.9</v>
      </c>
      <c r="AG3" s="593" t="s">
        <v>385</v>
      </c>
      <c r="AH3" s="594">
        <v>0.7</v>
      </c>
      <c r="AI3" s="21"/>
      <c r="AJ3" s="8" t="s">
        <v>386</v>
      </c>
      <c r="AK3" s="26" t="s">
        <v>386</v>
      </c>
      <c r="AL3" s="1"/>
      <c r="AM3" s="1"/>
      <c r="AN3" s="1"/>
      <c r="AO3" s="113" t="s">
        <v>385</v>
      </c>
      <c r="AP3" s="114" t="s">
        <v>363</v>
      </c>
      <c r="AQ3" s="216"/>
      <c r="AR3" s="111" t="s">
        <v>385</v>
      </c>
      <c r="AS3" s="218" t="s">
        <v>387</v>
      </c>
      <c r="AT3" s="112" t="s">
        <v>388</v>
      </c>
      <c r="AU3" s="223" t="s">
        <v>389</v>
      </c>
      <c r="AV3" s="228"/>
      <c r="AX3" s="63" t="s">
        <v>385</v>
      </c>
      <c r="AY3" s="615" t="s">
        <v>390</v>
      </c>
      <c r="AZ3" s="78" t="s">
        <v>391</v>
      </c>
      <c r="BA3" s="78" t="s">
        <v>392</v>
      </c>
      <c r="BB3" s="621" t="s">
        <v>393</v>
      </c>
      <c r="BC3" s="95"/>
      <c r="BD3" s="26"/>
      <c r="BF3" s="110"/>
      <c r="BH3" s="8" t="s">
        <v>386</v>
      </c>
    </row>
    <row r="4" spans="1:60" ht="14.25" customHeight="1" thickBot="1">
      <c r="A4" s="63" t="s">
        <v>385</v>
      </c>
      <c r="B4" s="131" t="s">
        <v>394</v>
      </c>
      <c r="C4" s="180">
        <v>0.245</v>
      </c>
      <c r="D4" s="181">
        <v>0.224</v>
      </c>
      <c r="E4" s="181">
        <v>0.182</v>
      </c>
      <c r="F4" s="181">
        <v>0.14499999999999999</v>
      </c>
      <c r="G4" s="182">
        <v>0.27</v>
      </c>
      <c r="H4" s="182">
        <v>0.28699999999999998</v>
      </c>
      <c r="I4" s="182">
        <v>0.249</v>
      </c>
      <c r="J4" s="182">
        <v>0.26600000000000001</v>
      </c>
      <c r="K4" s="182">
        <v>0.20699999999999999</v>
      </c>
      <c r="L4" s="182">
        <v>0.17</v>
      </c>
      <c r="M4" s="183"/>
      <c r="N4" s="178" t="s">
        <v>378</v>
      </c>
      <c r="O4" s="78" t="s">
        <v>395</v>
      </c>
      <c r="P4" s="24"/>
      <c r="Q4" s="173" t="s">
        <v>371</v>
      </c>
      <c r="R4" s="168" t="s">
        <v>351</v>
      </c>
      <c r="S4" s="24"/>
      <c r="T4" s="4" t="s">
        <v>396</v>
      </c>
      <c r="V4" s="6" t="s">
        <v>380</v>
      </c>
      <c r="W4" s="4" t="s">
        <v>397</v>
      </c>
      <c r="Y4" s="595" t="s">
        <v>382</v>
      </c>
      <c r="Z4" s="596">
        <v>0.2</v>
      </c>
      <c r="AA4" s="39" t="s">
        <v>383</v>
      </c>
      <c r="AB4" s="34" t="s">
        <v>398</v>
      </c>
      <c r="AC4" s="43" t="str">
        <f t="shared" ref="AC4:AC67" si="0">AA4&amp;AB4</f>
        <v>東京都中央区</v>
      </c>
      <c r="AD4" s="45">
        <v>11.4</v>
      </c>
      <c r="AE4" s="33">
        <v>11.1</v>
      </c>
      <c r="AF4" s="87">
        <v>10.9</v>
      </c>
      <c r="AG4" s="595" t="s">
        <v>399</v>
      </c>
      <c r="AH4" s="596">
        <v>0.7</v>
      </c>
      <c r="AI4" s="24"/>
      <c r="AJ4" s="7"/>
      <c r="AK4" s="27" t="s">
        <v>362</v>
      </c>
      <c r="AL4" s="1"/>
      <c r="AM4" s="1"/>
      <c r="AN4" s="1"/>
      <c r="AO4" s="118" t="s">
        <v>400</v>
      </c>
      <c r="AP4" s="119" t="s">
        <v>363</v>
      </c>
      <c r="AQ4" s="216"/>
      <c r="AR4" s="115" t="s">
        <v>400</v>
      </c>
      <c r="AS4" s="218" t="s">
        <v>401</v>
      </c>
      <c r="AT4" s="116" t="s">
        <v>402</v>
      </c>
      <c r="AU4" s="224" t="s">
        <v>403</v>
      </c>
      <c r="AV4" s="229"/>
      <c r="AX4" s="9" t="s">
        <v>399</v>
      </c>
      <c r="AY4" s="111" t="s">
        <v>404</v>
      </c>
      <c r="AZ4" s="76" t="s">
        <v>391</v>
      </c>
      <c r="BA4" s="76" t="s">
        <v>405</v>
      </c>
      <c r="BB4" s="622" t="s">
        <v>393</v>
      </c>
      <c r="BC4" s="94"/>
      <c r="BD4" s="27"/>
      <c r="BF4" s="2"/>
      <c r="BH4" s="230" t="s">
        <v>362</v>
      </c>
    </row>
    <row r="5" spans="1:60" ht="14.25" customHeight="1" thickBot="1">
      <c r="A5" s="9" t="s">
        <v>399</v>
      </c>
      <c r="B5" s="132" t="s">
        <v>406</v>
      </c>
      <c r="C5" s="139">
        <v>0.245</v>
      </c>
      <c r="D5" s="140">
        <v>0.224</v>
      </c>
      <c r="E5" s="140">
        <v>0.182</v>
      </c>
      <c r="F5" s="140">
        <v>0.14499999999999999</v>
      </c>
      <c r="G5" s="144">
        <v>0.26700000000000002</v>
      </c>
      <c r="H5" s="144">
        <v>0.27800000000000002</v>
      </c>
      <c r="I5" s="144">
        <v>0.246</v>
      </c>
      <c r="J5" s="144">
        <v>0.25700000000000001</v>
      </c>
      <c r="K5" s="144">
        <v>0.20399999999999999</v>
      </c>
      <c r="L5" s="144">
        <v>0.16700000000000001</v>
      </c>
      <c r="M5" s="184"/>
      <c r="N5" s="148" t="s">
        <v>378</v>
      </c>
      <c r="O5" s="76" t="s">
        <v>395</v>
      </c>
      <c r="P5" s="24"/>
      <c r="Q5" s="4" t="s">
        <v>372</v>
      </c>
      <c r="R5" s="169"/>
      <c r="S5" s="24"/>
      <c r="T5" s="4" t="s">
        <v>407</v>
      </c>
      <c r="V5" s="6" t="s">
        <v>380</v>
      </c>
      <c r="W5" s="4" t="s">
        <v>408</v>
      </c>
      <c r="Y5" s="595" t="s">
        <v>382</v>
      </c>
      <c r="Z5" s="596">
        <v>0.2</v>
      </c>
      <c r="AA5" s="39" t="s">
        <v>383</v>
      </c>
      <c r="AB5" s="34" t="s">
        <v>409</v>
      </c>
      <c r="AC5" s="43" t="str">
        <f t="shared" si="0"/>
        <v>東京都港区</v>
      </c>
      <c r="AD5" s="45">
        <v>11.4</v>
      </c>
      <c r="AE5" s="33">
        <v>11.1</v>
      </c>
      <c r="AF5" s="87">
        <v>10.9</v>
      </c>
      <c r="AG5" s="9" t="s">
        <v>410</v>
      </c>
      <c r="AH5" s="596">
        <v>0.7</v>
      </c>
      <c r="AI5" s="24"/>
      <c r="AJ5" s="1"/>
      <c r="AK5" s="7"/>
      <c r="AL5" s="1"/>
      <c r="AM5" s="1"/>
      <c r="AN5" s="1"/>
      <c r="AO5" s="118" t="s">
        <v>411</v>
      </c>
      <c r="AP5" s="119" t="s">
        <v>363</v>
      </c>
      <c r="AQ5" s="216"/>
      <c r="AR5" s="79" t="s">
        <v>410</v>
      </c>
      <c r="AS5" s="218" t="s">
        <v>412</v>
      </c>
      <c r="AT5" s="116" t="s">
        <v>402</v>
      </c>
      <c r="AU5" s="224" t="s">
        <v>403</v>
      </c>
      <c r="AV5" s="229"/>
      <c r="AX5" s="9" t="s">
        <v>410</v>
      </c>
      <c r="AY5" s="111" t="s">
        <v>413</v>
      </c>
      <c r="AZ5" s="76" t="s">
        <v>391</v>
      </c>
      <c r="BA5" s="76" t="s">
        <v>405</v>
      </c>
      <c r="BB5" s="622" t="s">
        <v>393</v>
      </c>
      <c r="BC5" s="94"/>
      <c r="BD5" s="27"/>
      <c r="BF5" s="109" t="s">
        <v>366</v>
      </c>
      <c r="BH5" s="7"/>
    </row>
    <row r="6" spans="1:60" ht="14.25" customHeight="1" thickBot="1">
      <c r="A6" s="9" t="s">
        <v>410</v>
      </c>
      <c r="B6" s="132" t="s">
        <v>414</v>
      </c>
      <c r="C6" s="139">
        <v>0.245</v>
      </c>
      <c r="D6" s="140">
        <v>0.224</v>
      </c>
      <c r="E6" s="140">
        <v>0.182</v>
      </c>
      <c r="F6" s="140">
        <v>0.14499999999999999</v>
      </c>
      <c r="G6" s="144">
        <v>0.26700000000000002</v>
      </c>
      <c r="H6" s="144">
        <v>0.27800000000000002</v>
      </c>
      <c r="I6" s="144">
        <v>0.246</v>
      </c>
      <c r="J6" s="144">
        <v>0.25700000000000001</v>
      </c>
      <c r="K6" s="144">
        <v>0.20399999999999999</v>
      </c>
      <c r="L6" s="144">
        <v>0.16700000000000001</v>
      </c>
      <c r="M6" s="184"/>
      <c r="N6" s="148" t="s">
        <v>378</v>
      </c>
      <c r="O6" s="76" t="s">
        <v>395</v>
      </c>
      <c r="P6" s="21"/>
      <c r="Q6" s="174" t="s">
        <v>373</v>
      </c>
      <c r="R6" s="170"/>
      <c r="S6" s="21"/>
      <c r="T6" s="4" t="s">
        <v>415</v>
      </c>
      <c r="V6" s="6" t="s">
        <v>380</v>
      </c>
      <c r="W6" s="4" t="s">
        <v>416</v>
      </c>
      <c r="Y6" s="595" t="s">
        <v>382</v>
      </c>
      <c r="Z6" s="596">
        <v>0.2</v>
      </c>
      <c r="AA6" s="39" t="s">
        <v>383</v>
      </c>
      <c r="AB6" s="34" t="s">
        <v>417</v>
      </c>
      <c r="AC6" s="43" t="str">
        <f t="shared" si="0"/>
        <v>東京都新宿区</v>
      </c>
      <c r="AD6" s="45">
        <v>11.4</v>
      </c>
      <c r="AE6" s="33">
        <v>11.1</v>
      </c>
      <c r="AF6" s="87">
        <v>10.9</v>
      </c>
      <c r="AG6" s="595" t="s">
        <v>418</v>
      </c>
      <c r="AH6" s="596">
        <v>0.7</v>
      </c>
      <c r="AI6" s="21"/>
      <c r="AJ6" s="23"/>
      <c r="AK6" s="1"/>
      <c r="AL6" s="1"/>
      <c r="AM6" s="1"/>
      <c r="AN6" s="1"/>
      <c r="AO6" s="118" t="s">
        <v>418</v>
      </c>
      <c r="AP6" s="119" t="s">
        <v>363</v>
      </c>
      <c r="AQ6" s="216"/>
      <c r="AR6" s="115" t="s">
        <v>418</v>
      </c>
      <c r="AS6" s="218" t="s">
        <v>419</v>
      </c>
      <c r="AT6" s="116" t="s">
        <v>402</v>
      </c>
      <c r="AU6" s="224" t="s">
        <v>403</v>
      </c>
      <c r="AV6" s="229"/>
      <c r="AX6" s="9" t="s">
        <v>418</v>
      </c>
      <c r="AY6" s="111" t="s">
        <v>420</v>
      </c>
      <c r="AZ6" s="76" t="s">
        <v>391</v>
      </c>
      <c r="BA6" s="76" t="s">
        <v>405</v>
      </c>
      <c r="BB6" s="622" t="s">
        <v>393</v>
      </c>
      <c r="BC6" s="94"/>
      <c r="BD6" s="27"/>
      <c r="BF6" s="551" t="s">
        <v>421</v>
      </c>
    </row>
    <row r="7" spans="1:60" ht="14.25" customHeight="1" thickBot="1">
      <c r="A7" s="9" t="s">
        <v>418</v>
      </c>
      <c r="B7" s="132" t="s">
        <v>422</v>
      </c>
      <c r="C7" s="139">
        <v>9.9999999999999992E-2</v>
      </c>
      <c r="D7" s="140">
        <v>9.4E-2</v>
      </c>
      <c r="E7" s="140">
        <v>7.9000000000000001E-2</v>
      </c>
      <c r="F7" s="140">
        <v>6.3E-2</v>
      </c>
      <c r="G7" s="144">
        <v>0.122</v>
      </c>
      <c r="H7" s="144">
        <v>0.13300000000000001</v>
      </c>
      <c r="I7" s="144">
        <v>0.11600000000000001</v>
      </c>
      <c r="J7" s="144">
        <v>0.127</v>
      </c>
      <c r="K7" s="144">
        <v>0.10100000000000001</v>
      </c>
      <c r="L7" s="144">
        <v>8.5000000000000006E-2</v>
      </c>
      <c r="M7" s="184"/>
      <c r="N7" s="148" t="s">
        <v>378</v>
      </c>
      <c r="O7" s="76" t="s">
        <v>395</v>
      </c>
      <c r="P7" s="24"/>
      <c r="Q7" s="4" t="s">
        <v>374</v>
      </c>
      <c r="R7" s="169"/>
      <c r="S7" s="24"/>
      <c r="T7" s="4" t="s">
        <v>423</v>
      </c>
      <c r="V7" s="6" t="s">
        <v>380</v>
      </c>
      <c r="W7" s="4" t="s">
        <v>424</v>
      </c>
      <c r="Y7" s="595" t="s">
        <v>382</v>
      </c>
      <c r="Z7" s="596">
        <v>0.2</v>
      </c>
      <c r="AA7" s="39" t="s">
        <v>383</v>
      </c>
      <c r="AB7" s="34" t="s">
        <v>425</v>
      </c>
      <c r="AC7" s="43" t="str">
        <f t="shared" si="0"/>
        <v>東京都文京区</v>
      </c>
      <c r="AD7" s="45">
        <v>11.4</v>
      </c>
      <c r="AE7" s="33">
        <v>11.1</v>
      </c>
      <c r="AF7" s="87">
        <v>10.9</v>
      </c>
      <c r="AG7" s="595" t="s">
        <v>426</v>
      </c>
      <c r="AH7" s="596">
        <v>0.7</v>
      </c>
      <c r="AI7" s="24"/>
      <c r="AJ7" s="1"/>
      <c r="AK7" s="1"/>
      <c r="AL7" s="1"/>
      <c r="AM7" s="1"/>
      <c r="AN7" s="1"/>
      <c r="AO7" s="118" t="s">
        <v>426</v>
      </c>
      <c r="AP7" s="119" t="s">
        <v>427</v>
      </c>
      <c r="AQ7" s="216"/>
      <c r="AR7" s="115" t="s">
        <v>426</v>
      </c>
      <c r="AS7" s="218" t="s">
        <v>428</v>
      </c>
      <c r="AT7" s="116" t="s">
        <v>402</v>
      </c>
      <c r="AU7" s="224" t="s">
        <v>403</v>
      </c>
      <c r="AV7" s="229"/>
      <c r="AX7" s="9" t="s">
        <v>426</v>
      </c>
      <c r="AY7" s="111" t="s">
        <v>429</v>
      </c>
      <c r="AZ7" s="76" t="s">
        <v>391</v>
      </c>
      <c r="BA7" s="76" t="s">
        <v>405</v>
      </c>
      <c r="BB7" s="622" t="s">
        <v>393</v>
      </c>
      <c r="BC7" s="94"/>
      <c r="BD7" s="27"/>
      <c r="BF7" s="551" t="s">
        <v>430</v>
      </c>
    </row>
    <row r="8" spans="1:60" ht="14.25" customHeight="1" thickBot="1">
      <c r="A8" s="9" t="s">
        <v>426</v>
      </c>
      <c r="B8" s="132" t="s">
        <v>431</v>
      </c>
      <c r="C8" s="139">
        <v>9.9999999999999992E-2</v>
      </c>
      <c r="D8" s="140">
        <v>9.4E-2</v>
      </c>
      <c r="E8" s="140">
        <v>7.9000000000000001E-2</v>
      </c>
      <c r="F8" s="140">
        <v>6.3E-2</v>
      </c>
      <c r="G8" s="144">
        <v>0.122</v>
      </c>
      <c r="H8" s="144">
        <v>0.13300000000000001</v>
      </c>
      <c r="I8" s="144">
        <v>0.11600000000000001</v>
      </c>
      <c r="J8" s="144">
        <v>0.127</v>
      </c>
      <c r="K8" s="144">
        <v>0.10100000000000001</v>
      </c>
      <c r="L8" s="144">
        <v>8.5000000000000006E-2</v>
      </c>
      <c r="M8" s="184"/>
      <c r="N8" s="148" t="s">
        <v>378</v>
      </c>
      <c r="O8" s="76" t="s">
        <v>432</v>
      </c>
      <c r="P8" s="24"/>
      <c r="Q8" s="4" t="s">
        <v>375</v>
      </c>
      <c r="R8" s="169"/>
      <c r="S8" s="24"/>
      <c r="T8" s="4" t="s">
        <v>433</v>
      </c>
      <c r="V8" s="6" t="s">
        <v>380</v>
      </c>
      <c r="W8" s="4" t="s">
        <v>434</v>
      </c>
      <c r="Y8" s="595" t="s">
        <v>382</v>
      </c>
      <c r="Z8" s="596">
        <v>0.2</v>
      </c>
      <c r="AA8" s="39" t="s">
        <v>383</v>
      </c>
      <c r="AB8" s="34" t="s">
        <v>435</v>
      </c>
      <c r="AC8" s="43" t="str">
        <f t="shared" si="0"/>
        <v>東京都台東区</v>
      </c>
      <c r="AD8" s="45">
        <v>11.4</v>
      </c>
      <c r="AE8" s="33">
        <v>11.1</v>
      </c>
      <c r="AF8" s="87">
        <v>10.9</v>
      </c>
      <c r="AG8" s="595" t="s">
        <v>436</v>
      </c>
      <c r="AH8" s="596">
        <v>0.45</v>
      </c>
      <c r="AI8" s="24"/>
      <c r="AJ8" s="1"/>
      <c r="AK8" s="1"/>
      <c r="AL8" s="1"/>
      <c r="AM8" s="1"/>
      <c r="AN8" s="1"/>
      <c r="AO8" s="118" t="s">
        <v>436</v>
      </c>
      <c r="AP8" s="119" t="s">
        <v>363</v>
      </c>
      <c r="AQ8" s="216"/>
      <c r="AR8" s="115" t="s">
        <v>436</v>
      </c>
      <c r="AS8" s="218" t="s">
        <v>437</v>
      </c>
      <c r="AT8" s="116" t="s">
        <v>402</v>
      </c>
      <c r="AU8" s="224" t="s">
        <v>403</v>
      </c>
      <c r="AV8" s="229"/>
      <c r="AX8" s="9" t="s">
        <v>436</v>
      </c>
      <c r="AY8" s="111" t="s">
        <v>438</v>
      </c>
      <c r="AZ8" s="76" t="s">
        <v>391</v>
      </c>
      <c r="BA8" s="76" t="s">
        <v>405</v>
      </c>
      <c r="BB8" s="622" t="s">
        <v>393</v>
      </c>
      <c r="BC8" s="94"/>
      <c r="BD8" s="27"/>
      <c r="BF8" s="110"/>
    </row>
    <row r="9" spans="1:60" ht="14.25" customHeight="1" thickBot="1">
      <c r="A9" s="9" t="s">
        <v>436</v>
      </c>
      <c r="B9" s="132" t="s">
        <v>439</v>
      </c>
      <c r="C9" s="139">
        <v>9.1999999999999985E-2</v>
      </c>
      <c r="D9" s="140">
        <v>8.9999999999999983E-2</v>
      </c>
      <c r="E9" s="140">
        <v>7.9999999999999988E-2</v>
      </c>
      <c r="F9" s="140">
        <v>6.3999999999999987E-2</v>
      </c>
      <c r="G9" s="144">
        <v>0.111</v>
      </c>
      <c r="H9" s="144">
        <v>0.12</v>
      </c>
      <c r="I9" s="144">
        <v>0.109</v>
      </c>
      <c r="J9" s="144">
        <v>0.11799999999999999</v>
      </c>
      <c r="K9" s="144">
        <v>9.9000000000000005E-2</v>
      </c>
      <c r="L9" s="144">
        <v>8.3000000000000004E-2</v>
      </c>
      <c r="M9" s="184"/>
      <c r="N9" s="148" t="s">
        <v>378</v>
      </c>
      <c r="O9" s="76" t="s">
        <v>395</v>
      </c>
      <c r="P9" s="24"/>
      <c r="Q9" s="5" t="s">
        <v>376</v>
      </c>
      <c r="R9" s="171"/>
      <c r="S9" s="24"/>
      <c r="T9" s="4" t="s">
        <v>440</v>
      </c>
      <c r="V9" s="6" t="s">
        <v>380</v>
      </c>
      <c r="W9" s="4" t="s">
        <v>441</v>
      </c>
      <c r="Y9" s="595" t="s">
        <v>382</v>
      </c>
      <c r="Z9" s="596">
        <v>0.2</v>
      </c>
      <c r="AA9" s="39" t="s">
        <v>383</v>
      </c>
      <c r="AB9" s="34" t="s">
        <v>442</v>
      </c>
      <c r="AC9" s="43" t="str">
        <f t="shared" si="0"/>
        <v>東京都墨田区</v>
      </c>
      <c r="AD9" s="45">
        <v>11.4</v>
      </c>
      <c r="AE9" s="33">
        <v>11.1</v>
      </c>
      <c r="AF9" s="87">
        <v>10.9</v>
      </c>
      <c r="AG9" s="595" t="s">
        <v>443</v>
      </c>
      <c r="AH9" s="596">
        <v>0.45</v>
      </c>
      <c r="AI9" s="24"/>
      <c r="AJ9" s="1"/>
      <c r="AK9" s="1"/>
      <c r="AL9" s="1"/>
      <c r="AM9" s="1"/>
      <c r="AN9" s="1"/>
      <c r="AO9" s="118" t="s">
        <v>443</v>
      </c>
      <c r="AP9" s="119" t="s">
        <v>363</v>
      </c>
      <c r="AQ9" s="216"/>
      <c r="AR9" s="115" t="s">
        <v>443</v>
      </c>
      <c r="AS9" s="218" t="s">
        <v>444</v>
      </c>
      <c r="AT9" s="116" t="s">
        <v>402</v>
      </c>
      <c r="AU9" s="224" t="s">
        <v>403</v>
      </c>
      <c r="AV9" s="120" t="s">
        <v>445</v>
      </c>
      <c r="AX9" s="9" t="s">
        <v>443</v>
      </c>
      <c r="AY9" s="111" t="s">
        <v>446</v>
      </c>
      <c r="AZ9" s="76" t="s">
        <v>391</v>
      </c>
      <c r="BA9" s="76" t="s">
        <v>405</v>
      </c>
      <c r="BB9" s="622" t="s">
        <v>393</v>
      </c>
      <c r="BC9" s="94"/>
      <c r="BD9" s="27"/>
      <c r="BF9" s="2"/>
    </row>
    <row r="10" spans="1:60" ht="14.25" customHeight="1" thickBot="1">
      <c r="A10" s="9" t="s">
        <v>443</v>
      </c>
      <c r="B10" s="132" t="s">
        <v>447</v>
      </c>
      <c r="C10" s="139">
        <v>9.1999999999999985E-2</v>
      </c>
      <c r="D10" s="140">
        <v>8.9999999999999983E-2</v>
      </c>
      <c r="E10" s="140">
        <v>7.9999999999999988E-2</v>
      </c>
      <c r="F10" s="140">
        <v>6.3999999999999987E-2</v>
      </c>
      <c r="G10" s="144">
        <v>0.11700000000000001</v>
      </c>
      <c r="H10" s="144">
        <v>0.127</v>
      </c>
      <c r="I10" s="144">
        <v>0.115</v>
      </c>
      <c r="J10" s="144">
        <v>0.125</v>
      </c>
      <c r="K10" s="144">
        <v>0.105</v>
      </c>
      <c r="L10" s="144">
        <v>8.8999999999999996E-2</v>
      </c>
      <c r="M10" s="184"/>
      <c r="N10" s="148" t="s">
        <v>378</v>
      </c>
      <c r="O10" s="76" t="s">
        <v>395</v>
      </c>
      <c r="P10" s="24"/>
      <c r="Q10" s="2"/>
      <c r="R10" s="2"/>
      <c r="S10" s="24"/>
      <c r="T10" s="4" t="s">
        <v>448</v>
      </c>
      <c r="V10" s="6" t="s">
        <v>380</v>
      </c>
      <c r="W10" s="4" t="s">
        <v>449</v>
      </c>
      <c r="Y10" s="595" t="s">
        <v>382</v>
      </c>
      <c r="Z10" s="596">
        <v>0.2</v>
      </c>
      <c r="AA10" s="39" t="s">
        <v>383</v>
      </c>
      <c r="AB10" s="34" t="s">
        <v>450</v>
      </c>
      <c r="AC10" s="43" t="str">
        <f t="shared" si="0"/>
        <v>東京都江東区</v>
      </c>
      <c r="AD10" s="45">
        <v>11.4</v>
      </c>
      <c r="AE10" s="33">
        <v>11.1</v>
      </c>
      <c r="AF10" s="87">
        <v>10.9</v>
      </c>
      <c r="AG10" s="595" t="s">
        <v>451</v>
      </c>
      <c r="AH10" s="596">
        <v>0.55000000000000004</v>
      </c>
      <c r="AI10" s="24"/>
      <c r="AJ10" s="1"/>
      <c r="AK10" s="1"/>
      <c r="AL10" s="1"/>
      <c r="AM10" s="1"/>
      <c r="AN10" s="1"/>
      <c r="AO10" s="118" t="s">
        <v>451</v>
      </c>
      <c r="AP10" s="119" t="s">
        <v>363</v>
      </c>
      <c r="AQ10" s="216"/>
      <c r="AR10" s="115" t="s">
        <v>451</v>
      </c>
      <c r="AS10" s="218" t="s">
        <v>452</v>
      </c>
      <c r="AT10" s="116" t="s">
        <v>402</v>
      </c>
      <c r="AU10" s="224" t="s">
        <v>403</v>
      </c>
      <c r="AV10" s="229"/>
      <c r="AX10" s="9" t="s">
        <v>451</v>
      </c>
      <c r="AY10" s="111" t="s">
        <v>453</v>
      </c>
      <c r="AZ10" s="76" t="s">
        <v>391</v>
      </c>
      <c r="BA10" s="76" t="s">
        <v>405</v>
      </c>
      <c r="BB10" s="622" t="s">
        <v>393</v>
      </c>
      <c r="BC10" s="94"/>
      <c r="BD10" s="27"/>
      <c r="BF10" s="172" t="s">
        <v>454</v>
      </c>
    </row>
    <row r="11" spans="1:60" ht="14.25" customHeight="1" thickBot="1">
      <c r="A11" s="9" t="s">
        <v>451</v>
      </c>
      <c r="B11" s="132" t="s">
        <v>455</v>
      </c>
      <c r="C11" s="139">
        <v>8.5999999999999993E-2</v>
      </c>
      <c r="D11" s="140">
        <v>8.299999999999999E-2</v>
      </c>
      <c r="E11" s="140">
        <v>6.6000000000000003E-2</v>
      </c>
      <c r="F11" s="140">
        <v>5.3000000000000005E-2</v>
      </c>
      <c r="G11" s="144">
        <v>0.10299999999999999</v>
      </c>
      <c r="H11" s="144">
        <v>0.111</v>
      </c>
      <c r="I11" s="144">
        <v>0.1</v>
      </c>
      <c r="J11" s="144">
        <v>0.108</v>
      </c>
      <c r="K11" s="144">
        <v>8.3000000000000004E-2</v>
      </c>
      <c r="L11" s="144">
        <v>7.0000000000000007E-2</v>
      </c>
      <c r="M11" s="184"/>
      <c r="N11" s="148" t="s">
        <v>378</v>
      </c>
      <c r="O11" s="76" t="s">
        <v>395</v>
      </c>
      <c r="P11" s="24"/>
      <c r="Q11" s="2"/>
      <c r="R11" s="2"/>
      <c r="S11" s="24"/>
      <c r="T11" s="4" t="s">
        <v>456</v>
      </c>
      <c r="V11" s="6" t="s">
        <v>380</v>
      </c>
      <c r="W11" s="4" t="s">
        <v>457</v>
      </c>
      <c r="Y11" s="595" t="s">
        <v>382</v>
      </c>
      <c r="Z11" s="596">
        <v>0.2</v>
      </c>
      <c r="AA11" s="39" t="s">
        <v>383</v>
      </c>
      <c r="AB11" s="34" t="s">
        <v>458</v>
      </c>
      <c r="AC11" s="43" t="str">
        <f t="shared" si="0"/>
        <v>東京都品川区</v>
      </c>
      <c r="AD11" s="45">
        <v>11.4</v>
      </c>
      <c r="AE11" s="33">
        <v>11.1</v>
      </c>
      <c r="AF11" s="87">
        <v>10.9</v>
      </c>
      <c r="AG11" s="595" t="s">
        <v>459</v>
      </c>
      <c r="AH11" s="596">
        <v>0.55000000000000004</v>
      </c>
      <c r="AI11" s="24"/>
      <c r="AJ11" s="1"/>
      <c r="AK11" s="1"/>
      <c r="AL11" s="1"/>
      <c r="AM11" s="1"/>
      <c r="AN11" s="1"/>
      <c r="AO11" s="118" t="s">
        <v>459</v>
      </c>
      <c r="AP11" s="119" t="s">
        <v>427</v>
      </c>
      <c r="AQ11" s="216"/>
      <c r="AR11" s="115" t="s">
        <v>459</v>
      </c>
      <c r="AS11" s="218" t="s">
        <v>460</v>
      </c>
      <c r="AT11" s="116" t="s">
        <v>402</v>
      </c>
      <c r="AU11" s="224" t="s">
        <v>403</v>
      </c>
      <c r="AV11" s="229"/>
      <c r="AX11" s="9" t="s">
        <v>459</v>
      </c>
      <c r="AY11" s="111" t="s">
        <v>461</v>
      </c>
      <c r="AZ11" s="76" t="s">
        <v>391</v>
      </c>
      <c r="BA11" s="76" t="s">
        <v>405</v>
      </c>
      <c r="BB11" s="622" t="s">
        <v>393</v>
      </c>
      <c r="BC11" s="94"/>
      <c r="BD11" s="27"/>
      <c r="BF11" s="109" t="s">
        <v>366</v>
      </c>
    </row>
    <row r="12" spans="1:60" ht="14.25" customHeight="1" thickBot="1">
      <c r="A12" s="9" t="s">
        <v>459</v>
      </c>
      <c r="B12" s="132" t="s">
        <v>462</v>
      </c>
      <c r="C12" s="139">
        <v>8.5999999999999993E-2</v>
      </c>
      <c r="D12" s="140">
        <v>8.299999999999999E-2</v>
      </c>
      <c r="E12" s="140">
        <v>6.6000000000000003E-2</v>
      </c>
      <c r="F12" s="140">
        <v>5.3000000000000005E-2</v>
      </c>
      <c r="G12" s="144">
        <v>0.10299999999999999</v>
      </c>
      <c r="H12" s="144">
        <v>0.111</v>
      </c>
      <c r="I12" s="144">
        <v>0.1</v>
      </c>
      <c r="J12" s="144">
        <v>0.108</v>
      </c>
      <c r="K12" s="144">
        <v>8.3000000000000004E-2</v>
      </c>
      <c r="L12" s="144">
        <v>7.0000000000000007E-2</v>
      </c>
      <c r="M12" s="184"/>
      <c r="N12" s="148" t="s">
        <v>378</v>
      </c>
      <c r="O12" s="76" t="s">
        <v>432</v>
      </c>
      <c r="P12" s="24"/>
      <c r="Q12" s="24"/>
      <c r="R12" s="24"/>
      <c r="S12" s="24"/>
      <c r="T12" s="4" t="s">
        <v>463</v>
      </c>
      <c r="V12" s="6" t="s">
        <v>380</v>
      </c>
      <c r="W12" s="4" t="s">
        <v>464</v>
      </c>
      <c r="Y12" s="595" t="s">
        <v>382</v>
      </c>
      <c r="Z12" s="596">
        <v>0.2</v>
      </c>
      <c r="AA12" s="39" t="s">
        <v>383</v>
      </c>
      <c r="AB12" s="34" t="s">
        <v>465</v>
      </c>
      <c r="AC12" s="43" t="str">
        <f t="shared" si="0"/>
        <v>東京都目黒区</v>
      </c>
      <c r="AD12" s="45">
        <v>11.4</v>
      </c>
      <c r="AE12" s="33">
        <v>11.1</v>
      </c>
      <c r="AF12" s="87">
        <v>10.9</v>
      </c>
      <c r="AG12" s="595" t="s">
        <v>466</v>
      </c>
      <c r="AH12" s="596">
        <v>0.45</v>
      </c>
      <c r="AI12" s="24"/>
      <c r="AJ12" s="1"/>
      <c r="AK12" s="1"/>
      <c r="AL12" s="1"/>
      <c r="AM12" s="1"/>
      <c r="AN12" s="1"/>
      <c r="AO12" s="118" t="s">
        <v>467</v>
      </c>
      <c r="AP12" s="119" t="s">
        <v>363</v>
      </c>
      <c r="AQ12" s="216"/>
      <c r="AR12" s="115" t="s">
        <v>467</v>
      </c>
      <c r="AS12" s="218" t="s">
        <v>468</v>
      </c>
      <c r="AT12" s="116" t="s">
        <v>402</v>
      </c>
      <c r="AU12" s="224" t="s">
        <v>403</v>
      </c>
      <c r="AV12" s="120" t="s">
        <v>469</v>
      </c>
      <c r="AX12" s="9" t="s">
        <v>467</v>
      </c>
      <c r="AY12" s="111" t="s">
        <v>470</v>
      </c>
      <c r="AZ12" s="76" t="s">
        <v>471</v>
      </c>
      <c r="BA12" s="76" t="s">
        <v>472</v>
      </c>
      <c r="BB12" s="622" t="s">
        <v>393</v>
      </c>
      <c r="BC12" s="94"/>
      <c r="BD12" s="27"/>
      <c r="BF12" s="117" t="s">
        <v>421</v>
      </c>
    </row>
    <row r="13" spans="1:60" ht="14.25" customHeight="1" thickBot="1">
      <c r="A13" s="9" t="s">
        <v>467</v>
      </c>
      <c r="B13" s="132" t="s">
        <v>473</v>
      </c>
      <c r="C13" s="139">
        <v>0.128</v>
      </c>
      <c r="D13" s="140">
        <v>0.122</v>
      </c>
      <c r="E13" s="140">
        <v>0.11</v>
      </c>
      <c r="F13" s="140">
        <v>8.7999999999999995E-2</v>
      </c>
      <c r="G13" s="145">
        <v>0.14799999999999999</v>
      </c>
      <c r="H13" s="145">
        <v>0.159</v>
      </c>
      <c r="I13" s="145">
        <v>0.14199999999999999</v>
      </c>
      <c r="J13" s="145">
        <v>0.153</v>
      </c>
      <c r="K13" s="145">
        <v>0.13</v>
      </c>
      <c r="L13" s="145">
        <v>0.108</v>
      </c>
      <c r="M13" s="185"/>
      <c r="N13" s="148" t="s">
        <v>378</v>
      </c>
      <c r="O13" s="76" t="s">
        <v>395</v>
      </c>
      <c r="P13" s="24"/>
      <c r="Q13" s="24"/>
      <c r="R13" s="24"/>
      <c r="S13" s="24"/>
      <c r="T13" s="4" t="s">
        <v>474</v>
      </c>
      <c r="V13" s="6" t="s">
        <v>380</v>
      </c>
      <c r="W13" s="4" t="s">
        <v>475</v>
      </c>
      <c r="Y13" s="595" t="s">
        <v>382</v>
      </c>
      <c r="Z13" s="596">
        <v>0.2</v>
      </c>
      <c r="AA13" s="39" t="s">
        <v>383</v>
      </c>
      <c r="AB13" s="34" t="s">
        <v>476</v>
      </c>
      <c r="AC13" s="43" t="str">
        <f t="shared" si="0"/>
        <v>東京都大田区</v>
      </c>
      <c r="AD13" s="45">
        <v>11.4</v>
      </c>
      <c r="AE13" s="33">
        <v>11.1</v>
      </c>
      <c r="AF13" s="87">
        <v>10.9</v>
      </c>
      <c r="AG13" s="595" t="s">
        <v>467</v>
      </c>
      <c r="AH13" s="596">
        <v>0.45</v>
      </c>
      <c r="AI13" s="24"/>
      <c r="AJ13" s="1"/>
      <c r="AK13" s="1"/>
      <c r="AL13" s="1"/>
      <c r="AM13" s="1"/>
      <c r="AN13" s="1"/>
      <c r="AO13" s="118" t="s">
        <v>477</v>
      </c>
      <c r="AP13" s="119" t="s">
        <v>427</v>
      </c>
      <c r="AQ13" s="216"/>
      <c r="AR13" s="115" t="s">
        <v>477</v>
      </c>
      <c r="AS13" s="218" t="s">
        <v>478</v>
      </c>
      <c r="AT13" s="116" t="s">
        <v>402</v>
      </c>
      <c r="AU13" s="224" t="s">
        <v>403</v>
      </c>
      <c r="AV13" s="120"/>
      <c r="AX13" s="9" t="s">
        <v>479</v>
      </c>
      <c r="AY13" s="111" t="s">
        <v>480</v>
      </c>
      <c r="AZ13" s="76" t="s">
        <v>471</v>
      </c>
      <c r="BA13" s="76" t="s">
        <v>472</v>
      </c>
      <c r="BB13" s="622" t="s">
        <v>393</v>
      </c>
      <c r="BC13" s="94"/>
      <c r="BD13" s="27"/>
      <c r="BF13" s="117" t="s">
        <v>430</v>
      </c>
    </row>
    <row r="14" spans="1:60" ht="14.25" customHeight="1" thickBot="1">
      <c r="A14" s="9" t="s">
        <v>479</v>
      </c>
      <c r="B14" s="132" t="s">
        <v>481</v>
      </c>
      <c r="C14" s="139">
        <v>0.128</v>
      </c>
      <c r="D14" s="140">
        <v>0.122</v>
      </c>
      <c r="E14" s="140">
        <v>0.11</v>
      </c>
      <c r="F14" s="140">
        <v>8.7999999999999995E-2</v>
      </c>
      <c r="G14" s="145">
        <v>0.14799999999999999</v>
      </c>
      <c r="H14" s="145">
        <v>0.159</v>
      </c>
      <c r="I14" s="145">
        <v>0.14199999999999999</v>
      </c>
      <c r="J14" s="145">
        <v>0.153</v>
      </c>
      <c r="K14" s="145">
        <v>0.13</v>
      </c>
      <c r="L14" s="145">
        <v>0.108</v>
      </c>
      <c r="M14" s="185"/>
      <c r="N14" s="148" t="s">
        <v>378</v>
      </c>
      <c r="O14" s="76" t="s">
        <v>482</v>
      </c>
      <c r="P14" s="24"/>
      <c r="Q14" s="24"/>
      <c r="R14" s="24"/>
      <c r="S14" s="24"/>
      <c r="T14" s="4" t="s">
        <v>483</v>
      </c>
      <c r="V14" s="6" t="s">
        <v>380</v>
      </c>
      <c r="W14" s="4" t="s">
        <v>484</v>
      </c>
      <c r="Y14" s="595" t="s">
        <v>382</v>
      </c>
      <c r="Z14" s="596">
        <v>0.2</v>
      </c>
      <c r="AA14" s="39" t="s">
        <v>383</v>
      </c>
      <c r="AB14" s="34" t="s">
        <v>485</v>
      </c>
      <c r="AC14" s="43" t="str">
        <f t="shared" si="0"/>
        <v>東京都世田谷区</v>
      </c>
      <c r="AD14" s="45">
        <v>11.4</v>
      </c>
      <c r="AE14" s="33">
        <v>11.1</v>
      </c>
      <c r="AF14" s="87">
        <v>10.9</v>
      </c>
      <c r="AG14" s="595" t="s">
        <v>486</v>
      </c>
      <c r="AH14" s="596">
        <v>0.45</v>
      </c>
      <c r="AI14" s="24"/>
      <c r="AJ14" s="1"/>
      <c r="AK14" s="1"/>
      <c r="AL14" s="1"/>
      <c r="AM14" s="1"/>
      <c r="AN14" s="1"/>
      <c r="AO14" s="118" t="s">
        <v>486</v>
      </c>
      <c r="AP14" s="119" t="s">
        <v>427</v>
      </c>
      <c r="AQ14" s="216"/>
      <c r="AR14" s="115" t="s">
        <v>486</v>
      </c>
      <c r="AS14" s="218" t="s">
        <v>487</v>
      </c>
      <c r="AT14" s="116" t="s">
        <v>402</v>
      </c>
      <c r="AU14" s="224" t="s">
        <v>403</v>
      </c>
      <c r="AV14" s="120" t="s">
        <v>469</v>
      </c>
      <c r="AX14" s="9" t="s">
        <v>486</v>
      </c>
      <c r="AY14" s="111" t="s">
        <v>488</v>
      </c>
      <c r="AZ14" s="76" t="s">
        <v>471</v>
      </c>
      <c r="BA14" s="76" t="s">
        <v>472</v>
      </c>
      <c r="BB14" s="622" t="s">
        <v>393</v>
      </c>
      <c r="BC14" s="94"/>
      <c r="BD14" s="27"/>
      <c r="BF14" s="110"/>
    </row>
    <row r="15" spans="1:60" ht="14.25" customHeight="1" thickBot="1">
      <c r="A15" s="9" t="s">
        <v>486</v>
      </c>
      <c r="B15" s="132" t="s">
        <v>489</v>
      </c>
      <c r="C15" s="139">
        <v>0.128</v>
      </c>
      <c r="D15" s="140">
        <v>0.122</v>
      </c>
      <c r="E15" s="140">
        <v>0.11</v>
      </c>
      <c r="F15" s="140">
        <v>8.7999999999999995E-2</v>
      </c>
      <c r="G15" s="145">
        <v>0.14799999999999999</v>
      </c>
      <c r="H15" s="145">
        <v>0.159</v>
      </c>
      <c r="I15" s="145">
        <v>0.14199999999999999</v>
      </c>
      <c r="J15" s="145">
        <v>0.153</v>
      </c>
      <c r="K15" s="145">
        <v>0.13</v>
      </c>
      <c r="L15" s="145">
        <v>0.108</v>
      </c>
      <c r="M15" s="185"/>
      <c r="N15" s="148" t="s">
        <v>378</v>
      </c>
      <c r="O15" s="76" t="s">
        <v>432</v>
      </c>
      <c r="P15" s="24"/>
      <c r="Q15" s="24"/>
      <c r="R15" s="24"/>
      <c r="S15" s="24"/>
      <c r="T15" s="4" t="s">
        <v>490</v>
      </c>
      <c r="V15" s="6" t="s">
        <v>380</v>
      </c>
      <c r="W15" s="4" t="s">
        <v>491</v>
      </c>
      <c r="Y15" s="595" t="s">
        <v>382</v>
      </c>
      <c r="Z15" s="596">
        <v>0.2</v>
      </c>
      <c r="AA15" s="39" t="s">
        <v>383</v>
      </c>
      <c r="AB15" s="34" t="s">
        <v>492</v>
      </c>
      <c r="AC15" s="43" t="str">
        <f t="shared" si="0"/>
        <v>東京都渋谷区</v>
      </c>
      <c r="AD15" s="45">
        <v>11.4</v>
      </c>
      <c r="AE15" s="33">
        <v>11.1</v>
      </c>
      <c r="AF15" s="87">
        <v>10.9</v>
      </c>
      <c r="AG15" s="595" t="s">
        <v>493</v>
      </c>
      <c r="AH15" s="596">
        <v>0.45</v>
      </c>
      <c r="AI15" s="24"/>
      <c r="AJ15" s="1"/>
      <c r="AK15" s="1"/>
      <c r="AL15" s="1"/>
      <c r="AM15" s="1"/>
      <c r="AN15" s="1"/>
      <c r="AO15" s="118" t="s">
        <v>494</v>
      </c>
      <c r="AP15" s="119" t="s">
        <v>363</v>
      </c>
      <c r="AQ15" s="216"/>
      <c r="AR15" s="9" t="s">
        <v>493</v>
      </c>
      <c r="AS15" s="218" t="s">
        <v>2473</v>
      </c>
      <c r="AT15" s="116" t="s">
        <v>402</v>
      </c>
      <c r="AU15" s="224" t="s">
        <v>403</v>
      </c>
      <c r="AV15" s="120" t="s">
        <v>469</v>
      </c>
      <c r="AX15" s="9" t="s">
        <v>493</v>
      </c>
      <c r="AY15" s="111" t="s">
        <v>495</v>
      </c>
      <c r="AZ15" s="76" t="s">
        <v>496</v>
      </c>
      <c r="BA15" s="76" t="s">
        <v>497</v>
      </c>
      <c r="BB15" s="622" t="s">
        <v>393</v>
      </c>
      <c r="BC15" s="94"/>
      <c r="BD15" s="27"/>
      <c r="BF15" s="554" t="s">
        <v>498</v>
      </c>
    </row>
    <row r="16" spans="1:60" ht="14.25" customHeight="1" thickBot="1">
      <c r="A16" s="9" t="s">
        <v>493</v>
      </c>
      <c r="B16" s="132" t="s">
        <v>499</v>
      </c>
      <c r="C16" s="139">
        <v>0.128</v>
      </c>
      <c r="D16" s="140">
        <v>0.122</v>
      </c>
      <c r="E16" s="140">
        <v>0.11</v>
      </c>
      <c r="F16" s="140">
        <v>8.7999999999999995E-2</v>
      </c>
      <c r="G16" s="145">
        <v>0.14799999999999999</v>
      </c>
      <c r="H16" s="145">
        <v>0.159</v>
      </c>
      <c r="I16" s="145">
        <v>0.14199999999999999</v>
      </c>
      <c r="J16" s="145">
        <v>0.153</v>
      </c>
      <c r="K16" s="145">
        <v>0.13</v>
      </c>
      <c r="L16" s="145">
        <v>0.108</v>
      </c>
      <c r="M16" s="185"/>
      <c r="N16" s="148" t="s">
        <v>378</v>
      </c>
      <c r="O16" s="76" t="s">
        <v>395</v>
      </c>
      <c r="P16" s="24"/>
      <c r="Q16" s="24"/>
      <c r="R16" s="24"/>
      <c r="S16" s="24"/>
      <c r="T16" s="4" t="s">
        <v>500</v>
      </c>
      <c r="V16" s="6" t="s">
        <v>380</v>
      </c>
      <c r="W16" s="4" t="s">
        <v>501</v>
      </c>
      <c r="Y16" s="595" t="s">
        <v>382</v>
      </c>
      <c r="Z16" s="596">
        <v>0.2</v>
      </c>
      <c r="AA16" s="39" t="s">
        <v>383</v>
      </c>
      <c r="AB16" s="34" t="s">
        <v>502</v>
      </c>
      <c r="AC16" s="43" t="str">
        <f t="shared" si="0"/>
        <v>東京都中野区</v>
      </c>
      <c r="AD16" s="45">
        <v>11.4</v>
      </c>
      <c r="AE16" s="33">
        <v>11.1</v>
      </c>
      <c r="AF16" s="87">
        <v>10.9</v>
      </c>
      <c r="AG16" s="595" t="s">
        <v>503</v>
      </c>
      <c r="AH16" s="596">
        <v>0.45</v>
      </c>
      <c r="AI16" s="24"/>
      <c r="AJ16" s="1"/>
      <c r="AK16" s="1"/>
      <c r="AL16" s="1"/>
      <c r="AM16" s="1"/>
      <c r="AN16" s="1"/>
      <c r="AO16" s="118" t="s">
        <v>503</v>
      </c>
      <c r="AP16" s="119" t="s">
        <v>427</v>
      </c>
      <c r="AQ16" s="216"/>
      <c r="AR16" s="115" t="s">
        <v>503</v>
      </c>
      <c r="AS16" s="218" t="s">
        <v>2472</v>
      </c>
      <c r="AT16" s="116" t="s">
        <v>402</v>
      </c>
      <c r="AU16" s="224" t="s">
        <v>403</v>
      </c>
      <c r="AV16" s="120"/>
      <c r="AX16" s="9" t="s">
        <v>504</v>
      </c>
      <c r="AY16" s="111" t="s">
        <v>505</v>
      </c>
      <c r="AZ16" s="76" t="s">
        <v>496</v>
      </c>
      <c r="BA16" s="76" t="s">
        <v>497</v>
      </c>
      <c r="BB16" s="622" t="s">
        <v>393</v>
      </c>
      <c r="BC16" s="94"/>
      <c r="BD16" s="27"/>
      <c r="BF16" s="4" t="s">
        <v>366</v>
      </c>
    </row>
    <row r="17" spans="1:58" ht="14.25" customHeight="1" thickBot="1">
      <c r="A17" s="9" t="s">
        <v>504</v>
      </c>
      <c r="B17" s="132" t="s">
        <v>506</v>
      </c>
      <c r="C17" s="139">
        <v>0.128</v>
      </c>
      <c r="D17" s="140">
        <v>0.122</v>
      </c>
      <c r="E17" s="140">
        <v>0.11</v>
      </c>
      <c r="F17" s="140">
        <v>8.7999999999999995E-2</v>
      </c>
      <c r="G17" s="145">
        <v>0.14799999999999999</v>
      </c>
      <c r="H17" s="145">
        <v>0.159</v>
      </c>
      <c r="I17" s="145">
        <v>0.14199999999999999</v>
      </c>
      <c r="J17" s="145">
        <v>0.153</v>
      </c>
      <c r="K17" s="145">
        <v>0.13</v>
      </c>
      <c r="L17" s="145">
        <v>0.108</v>
      </c>
      <c r="M17" s="185"/>
      <c r="N17" s="148" t="s">
        <v>378</v>
      </c>
      <c r="O17" s="76" t="s">
        <v>482</v>
      </c>
      <c r="P17" s="24"/>
      <c r="Q17" s="24"/>
      <c r="R17" s="24"/>
      <c r="S17" s="24"/>
      <c r="T17" s="4" t="s">
        <v>507</v>
      </c>
      <c r="V17" s="6" t="s">
        <v>380</v>
      </c>
      <c r="W17" s="4" t="s">
        <v>508</v>
      </c>
      <c r="Y17" s="595" t="s">
        <v>382</v>
      </c>
      <c r="Z17" s="596">
        <v>0.2</v>
      </c>
      <c r="AA17" s="39" t="s">
        <v>383</v>
      </c>
      <c r="AB17" s="34" t="s">
        <v>509</v>
      </c>
      <c r="AC17" s="43" t="str">
        <f t="shared" si="0"/>
        <v>東京都杉並区</v>
      </c>
      <c r="AD17" s="45">
        <v>11.4</v>
      </c>
      <c r="AE17" s="33">
        <v>11.1</v>
      </c>
      <c r="AF17" s="87">
        <v>10.9</v>
      </c>
      <c r="AG17" s="595" t="s">
        <v>510</v>
      </c>
      <c r="AH17" s="596">
        <v>0.55000000000000004</v>
      </c>
      <c r="AI17" s="24"/>
      <c r="AJ17" s="1"/>
      <c r="AK17" s="1"/>
      <c r="AL17" s="1"/>
      <c r="AM17" s="1"/>
      <c r="AN17" s="1"/>
      <c r="AO17" s="118" t="s">
        <v>510</v>
      </c>
      <c r="AP17" s="119" t="s">
        <v>363</v>
      </c>
      <c r="AQ17" s="216"/>
      <c r="AR17" s="115" t="s">
        <v>510</v>
      </c>
      <c r="AS17" s="218" t="s">
        <v>511</v>
      </c>
      <c r="AT17" s="116" t="s">
        <v>402</v>
      </c>
      <c r="AU17" s="224" t="s">
        <v>403</v>
      </c>
      <c r="AV17" s="229"/>
      <c r="AX17" s="9" t="s">
        <v>510</v>
      </c>
      <c r="AY17" s="111" t="s">
        <v>512</v>
      </c>
      <c r="AZ17" s="76" t="s">
        <v>391</v>
      </c>
      <c r="BA17" s="76" t="s">
        <v>405</v>
      </c>
      <c r="BB17" s="622" t="s">
        <v>393</v>
      </c>
      <c r="BC17" s="94"/>
      <c r="BD17" s="27"/>
      <c r="BF17" s="551" t="s">
        <v>421</v>
      </c>
    </row>
    <row r="18" spans="1:58" ht="14.25" customHeight="1" thickBot="1">
      <c r="A18" s="9" t="s">
        <v>510</v>
      </c>
      <c r="B18" s="132" t="s">
        <v>513</v>
      </c>
      <c r="C18" s="139">
        <v>0.18099999999999999</v>
      </c>
      <c r="D18" s="140">
        <v>0.17399999999999999</v>
      </c>
      <c r="E18" s="140">
        <v>0.15</v>
      </c>
      <c r="F18" s="140">
        <v>0.122</v>
      </c>
      <c r="G18" s="144">
        <v>0.216</v>
      </c>
      <c r="H18" s="144">
        <v>0.23599999999999999</v>
      </c>
      <c r="I18" s="144">
        <v>0.20899999999999999</v>
      </c>
      <c r="J18" s="144">
        <v>0.22900000000000001</v>
      </c>
      <c r="K18" s="144">
        <v>0.185</v>
      </c>
      <c r="L18" s="144">
        <v>0.157</v>
      </c>
      <c r="M18" s="184"/>
      <c r="N18" s="148" t="s">
        <v>378</v>
      </c>
      <c r="O18" s="76" t="s">
        <v>395</v>
      </c>
      <c r="P18" s="24"/>
      <c r="Q18" s="24"/>
      <c r="R18" s="24"/>
      <c r="S18" s="24"/>
      <c r="T18" s="4" t="s">
        <v>514</v>
      </c>
      <c r="V18" s="6" t="s">
        <v>380</v>
      </c>
      <c r="W18" s="4" t="s">
        <v>515</v>
      </c>
      <c r="Y18" s="595" t="s">
        <v>382</v>
      </c>
      <c r="Z18" s="596">
        <v>0.2</v>
      </c>
      <c r="AA18" s="39" t="s">
        <v>383</v>
      </c>
      <c r="AB18" s="34" t="s">
        <v>516</v>
      </c>
      <c r="AC18" s="43" t="str">
        <f t="shared" si="0"/>
        <v>東京都豊島区</v>
      </c>
      <c r="AD18" s="45">
        <v>11.4</v>
      </c>
      <c r="AE18" s="33">
        <v>11.1</v>
      </c>
      <c r="AF18" s="87">
        <v>10.9</v>
      </c>
      <c r="AG18" s="595" t="s">
        <v>517</v>
      </c>
      <c r="AH18" s="596">
        <v>0.55000000000000004</v>
      </c>
      <c r="AI18" s="24"/>
      <c r="AJ18" s="1"/>
      <c r="AK18" s="1"/>
      <c r="AL18" s="1"/>
      <c r="AM18" s="1"/>
      <c r="AN18" s="1"/>
      <c r="AO18" s="118" t="s">
        <v>517</v>
      </c>
      <c r="AP18" s="119" t="s">
        <v>427</v>
      </c>
      <c r="AQ18" s="216"/>
      <c r="AR18" s="115" t="s">
        <v>517</v>
      </c>
      <c r="AS18" s="218" t="s">
        <v>518</v>
      </c>
      <c r="AT18" s="116" t="s">
        <v>402</v>
      </c>
      <c r="AU18" s="224" t="s">
        <v>403</v>
      </c>
      <c r="AV18" s="229"/>
      <c r="AX18" s="9" t="s">
        <v>517</v>
      </c>
      <c r="AY18" s="111" t="s">
        <v>519</v>
      </c>
      <c r="AZ18" s="76" t="s">
        <v>391</v>
      </c>
      <c r="BA18" s="76" t="s">
        <v>405</v>
      </c>
      <c r="BB18" s="622" t="s">
        <v>393</v>
      </c>
      <c r="BC18" s="94"/>
      <c r="BD18" s="27"/>
      <c r="BF18" s="551" t="s">
        <v>430</v>
      </c>
    </row>
    <row r="19" spans="1:58" ht="14.25" customHeight="1" thickBot="1">
      <c r="A19" s="9" t="s">
        <v>517</v>
      </c>
      <c r="B19" s="132" t="s">
        <v>520</v>
      </c>
      <c r="C19" s="139">
        <v>0.18099999999999999</v>
      </c>
      <c r="D19" s="140">
        <v>0.17399999999999999</v>
      </c>
      <c r="E19" s="140">
        <v>0.15</v>
      </c>
      <c r="F19" s="140">
        <v>0.122</v>
      </c>
      <c r="G19" s="144">
        <v>0.216</v>
      </c>
      <c r="H19" s="144">
        <v>0.23599999999999999</v>
      </c>
      <c r="I19" s="144">
        <v>0.20899999999999999</v>
      </c>
      <c r="J19" s="144">
        <v>0.22900000000000001</v>
      </c>
      <c r="K19" s="144">
        <v>0.185</v>
      </c>
      <c r="L19" s="144">
        <v>0.157</v>
      </c>
      <c r="M19" s="184"/>
      <c r="N19" s="148" t="s">
        <v>378</v>
      </c>
      <c r="O19" s="76" t="s">
        <v>432</v>
      </c>
      <c r="P19" s="24"/>
      <c r="Q19" s="24"/>
      <c r="R19" s="24"/>
      <c r="S19" s="24"/>
      <c r="T19" s="4" t="s">
        <v>521</v>
      </c>
      <c r="V19" s="6" t="s">
        <v>380</v>
      </c>
      <c r="W19" s="4" t="s">
        <v>522</v>
      </c>
      <c r="Y19" s="595" t="s">
        <v>382</v>
      </c>
      <c r="Z19" s="596">
        <v>0.2</v>
      </c>
      <c r="AA19" s="39" t="s">
        <v>383</v>
      </c>
      <c r="AB19" s="34" t="s">
        <v>523</v>
      </c>
      <c r="AC19" s="43" t="str">
        <f t="shared" si="0"/>
        <v>東京都北区</v>
      </c>
      <c r="AD19" s="45">
        <v>11.4</v>
      </c>
      <c r="AE19" s="33">
        <v>11.1</v>
      </c>
      <c r="AF19" s="87">
        <v>10.9</v>
      </c>
      <c r="AG19" s="595" t="s">
        <v>524</v>
      </c>
      <c r="AH19" s="596">
        <v>0.55000000000000004</v>
      </c>
      <c r="AI19" s="24"/>
      <c r="AJ19" s="1"/>
      <c r="AK19" s="1"/>
      <c r="AL19" s="1"/>
      <c r="AM19" s="1"/>
      <c r="AN19" s="1"/>
      <c r="AO19" s="118" t="s">
        <v>524</v>
      </c>
      <c r="AP19" s="119" t="s">
        <v>363</v>
      </c>
      <c r="AQ19" s="216"/>
      <c r="AR19" s="115" t="s">
        <v>524</v>
      </c>
      <c r="AS19" s="218" t="s">
        <v>525</v>
      </c>
      <c r="AT19" s="116" t="s">
        <v>402</v>
      </c>
      <c r="AU19" s="224" t="s">
        <v>403</v>
      </c>
      <c r="AV19" s="229"/>
      <c r="AX19" s="9" t="s">
        <v>526</v>
      </c>
      <c r="AY19" s="111" t="s">
        <v>527</v>
      </c>
      <c r="AZ19" s="76" t="s">
        <v>496</v>
      </c>
      <c r="BA19" s="76" t="s">
        <v>528</v>
      </c>
      <c r="BB19" s="148" t="s">
        <v>391</v>
      </c>
      <c r="BC19" s="94" t="s">
        <v>405</v>
      </c>
      <c r="BD19" s="625" t="s">
        <v>393</v>
      </c>
      <c r="BF19" s="5" t="s">
        <v>170</v>
      </c>
    </row>
    <row r="20" spans="1:58" ht="14.25" customHeight="1" thickBot="1">
      <c r="A20" s="9" t="s">
        <v>526</v>
      </c>
      <c r="B20" s="132" t="s">
        <v>529</v>
      </c>
      <c r="C20" s="139">
        <v>0.14900000000000002</v>
      </c>
      <c r="D20" s="140">
        <v>0.14600000000000002</v>
      </c>
      <c r="E20" s="140">
        <v>0.13400000000000001</v>
      </c>
      <c r="F20" s="140">
        <v>0.106</v>
      </c>
      <c r="G20" s="145">
        <v>0.17100000000000001</v>
      </c>
      <c r="H20" s="145">
        <v>0.186</v>
      </c>
      <c r="I20" s="145">
        <v>0.16800000000000001</v>
      </c>
      <c r="J20" s="145">
        <v>0.183</v>
      </c>
      <c r="K20" s="145">
        <v>0.156</v>
      </c>
      <c r="L20" s="145">
        <v>0.128</v>
      </c>
      <c r="M20" s="185"/>
      <c r="N20" s="148" t="s">
        <v>378</v>
      </c>
      <c r="O20" s="76" t="s">
        <v>395</v>
      </c>
      <c r="P20" s="24"/>
      <c r="Q20" s="24"/>
      <c r="R20" s="24"/>
      <c r="S20" s="24"/>
      <c r="T20" s="4" t="s">
        <v>530</v>
      </c>
      <c r="V20" s="6" t="s">
        <v>380</v>
      </c>
      <c r="W20" s="4" t="s">
        <v>531</v>
      </c>
      <c r="Y20" s="595" t="s">
        <v>382</v>
      </c>
      <c r="Z20" s="596">
        <v>0.2</v>
      </c>
      <c r="AA20" s="39" t="s">
        <v>383</v>
      </c>
      <c r="AB20" s="34" t="s">
        <v>532</v>
      </c>
      <c r="AC20" s="43" t="str">
        <f t="shared" si="0"/>
        <v>東京都荒川区</v>
      </c>
      <c r="AD20" s="45">
        <v>11.4</v>
      </c>
      <c r="AE20" s="33">
        <v>11.1</v>
      </c>
      <c r="AF20" s="87">
        <v>10.9</v>
      </c>
      <c r="AG20" s="595" t="s">
        <v>533</v>
      </c>
      <c r="AH20" s="596">
        <v>0.55000000000000004</v>
      </c>
      <c r="AI20" s="24"/>
      <c r="AJ20" s="1"/>
      <c r="AK20" s="1"/>
      <c r="AL20" s="1"/>
      <c r="AM20" s="1"/>
      <c r="AN20" s="1"/>
      <c r="AO20" s="118" t="s">
        <v>533</v>
      </c>
      <c r="AP20" s="119" t="s">
        <v>427</v>
      </c>
      <c r="AQ20" s="216"/>
      <c r="AR20" s="115" t="s">
        <v>533</v>
      </c>
      <c r="AS20" s="218" t="s">
        <v>534</v>
      </c>
      <c r="AT20" s="116" t="s">
        <v>402</v>
      </c>
      <c r="AU20" s="224" t="s">
        <v>403</v>
      </c>
      <c r="AV20" s="229"/>
      <c r="AX20" s="9" t="s">
        <v>535</v>
      </c>
      <c r="AY20" s="111" t="s">
        <v>536</v>
      </c>
      <c r="AZ20" s="76" t="s">
        <v>496</v>
      </c>
      <c r="BA20" s="76" t="s">
        <v>528</v>
      </c>
      <c r="BB20" s="148" t="s">
        <v>391</v>
      </c>
      <c r="BC20" s="94" t="s">
        <v>405</v>
      </c>
      <c r="BD20" s="626" t="s">
        <v>393</v>
      </c>
    </row>
    <row r="21" spans="1:58" ht="14.25" customHeight="1" thickBot="1">
      <c r="A21" s="9" t="s">
        <v>535</v>
      </c>
      <c r="B21" s="132" t="s">
        <v>537</v>
      </c>
      <c r="C21" s="139">
        <v>0.14900000000000002</v>
      </c>
      <c r="D21" s="140">
        <v>0.14600000000000002</v>
      </c>
      <c r="E21" s="140">
        <v>0.13400000000000001</v>
      </c>
      <c r="F21" s="140">
        <v>0.106</v>
      </c>
      <c r="G21" s="145">
        <v>0.17100000000000001</v>
      </c>
      <c r="H21" s="145">
        <v>0.186</v>
      </c>
      <c r="I21" s="145">
        <v>0.16800000000000001</v>
      </c>
      <c r="J21" s="145">
        <v>0.183</v>
      </c>
      <c r="K21" s="145">
        <v>0.156</v>
      </c>
      <c r="L21" s="145">
        <v>0.128</v>
      </c>
      <c r="M21" s="185"/>
      <c r="N21" s="148" t="s">
        <v>378</v>
      </c>
      <c r="O21" s="76" t="s">
        <v>538</v>
      </c>
      <c r="P21" s="24"/>
      <c r="Q21" s="24"/>
      <c r="R21" s="24"/>
      <c r="S21" s="24"/>
      <c r="T21" s="4" t="s">
        <v>539</v>
      </c>
      <c r="V21" s="6" t="s">
        <v>380</v>
      </c>
      <c r="W21" s="4" t="s">
        <v>540</v>
      </c>
      <c r="Y21" s="595" t="s">
        <v>382</v>
      </c>
      <c r="Z21" s="596">
        <v>0.2</v>
      </c>
      <c r="AA21" s="39" t="s">
        <v>383</v>
      </c>
      <c r="AB21" s="34" t="s">
        <v>541</v>
      </c>
      <c r="AC21" s="43" t="str">
        <f t="shared" si="0"/>
        <v>東京都板橋区</v>
      </c>
      <c r="AD21" s="45">
        <v>11.4</v>
      </c>
      <c r="AE21" s="33">
        <v>11.1</v>
      </c>
      <c r="AF21" s="87">
        <v>10.9</v>
      </c>
      <c r="AG21" s="595" t="s">
        <v>542</v>
      </c>
      <c r="AH21" s="596">
        <v>0.55000000000000004</v>
      </c>
      <c r="AI21" s="24"/>
      <c r="AJ21" s="1"/>
      <c r="AK21" s="1"/>
      <c r="AL21" s="1"/>
      <c r="AM21" s="1"/>
      <c r="AN21" s="1"/>
      <c r="AO21" s="118" t="s">
        <v>542</v>
      </c>
      <c r="AP21" s="119" t="s">
        <v>427</v>
      </c>
      <c r="AQ21" s="216"/>
      <c r="AR21" s="115" t="s">
        <v>542</v>
      </c>
      <c r="AS21" s="218" t="s">
        <v>543</v>
      </c>
      <c r="AT21" s="116" t="s">
        <v>402</v>
      </c>
      <c r="AU21" s="224" t="s">
        <v>403</v>
      </c>
      <c r="AV21" s="229"/>
      <c r="AX21" s="9" t="s">
        <v>542</v>
      </c>
      <c r="AY21" s="111" t="s">
        <v>544</v>
      </c>
      <c r="AZ21" s="76" t="s">
        <v>496</v>
      </c>
      <c r="BA21" s="76" t="s">
        <v>528</v>
      </c>
      <c r="BB21" s="148" t="s">
        <v>391</v>
      </c>
      <c r="BC21" s="94" t="s">
        <v>405</v>
      </c>
      <c r="BD21" s="626" t="s">
        <v>393</v>
      </c>
      <c r="BF21" s="553" t="s">
        <v>545</v>
      </c>
    </row>
    <row r="22" spans="1:58" ht="14.25" customHeight="1" thickBot="1">
      <c r="A22" s="9" t="s">
        <v>542</v>
      </c>
      <c r="B22" s="132" t="s">
        <v>546</v>
      </c>
      <c r="C22" s="139">
        <v>0.14900000000000002</v>
      </c>
      <c r="D22" s="140">
        <v>0.14600000000000002</v>
      </c>
      <c r="E22" s="140">
        <v>0.13400000000000001</v>
      </c>
      <c r="F22" s="140">
        <v>0.106</v>
      </c>
      <c r="G22" s="145">
        <v>0.17100000000000001</v>
      </c>
      <c r="H22" s="145">
        <v>0.186</v>
      </c>
      <c r="I22" s="145">
        <v>0.16800000000000001</v>
      </c>
      <c r="J22" s="145">
        <v>0.183</v>
      </c>
      <c r="K22" s="145">
        <v>0.156</v>
      </c>
      <c r="L22" s="145">
        <v>0.128</v>
      </c>
      <c r="M22" s="185"/>
      <c r="N22" s="148" t="s">
        <v>378</v>
      </c>
      <c r="O22" s="76" t="s">
        <v>432</v>
      </c>
      <c r="P22" s="24"/>
      <c r="Q22" s="24"/>
      <c r="R22" s="24"/>
      <c r="S22" s="24"/>
      <c r="T22" s="4" t="s">
        <v>547</v>
      </c>
      <c r="V22" s="6" t="s">
        <v>380</v>
      </c>
      <c r="W22" s="4" t="s">
        <v>548</v>
      </c>
      <c r="Y22" s="595" t="s">
        <v>382</v>
      </c>
      <c r="Z22" s="596">
        <v>0.2</v>
      </c>
      <c r="AA22" s="39" t="s">
        <v>383</v>
      </c>
      <c r="AB22" s="34" t="s">
        <v>549</v>
      </c>
      <c r="AC22" s="43" t="str">
        <f t="shared" si="0"/>
        <v>東京都練馬区</v>
      </c>
      <c r="AD22" s="45">
        <v>11.4</v>
      </c>
      <c r="AE22" s="33">
        <v>11.1</v>
      </c>
      <c r="AF22" s="87">
        <v>10.9</v>
      </c>
      <c r="AG22" s="595" t="s">
        <v>550</v>
      </c>
      <c r="AH22" s="596">
        <v>0.55000000000000004</v>
      </c>
      <c r="AI22" s="24"/>
      <c r="AJ22" s="1"/>
      <c r="AK22" s="1"/>
      <c r="AL22" s="1"/>
      <c r="AM22" s="1"/>
      <c r="AN22" s="1"/>
      <c r="AO22" s="118" t="s">
        <v>551</v>
      </c>
      <c r="AP22" s="119" t="s">
        <v>427</v>
      </c>
      <c r="AQ22" s="216"/>
      <c r="AR22" s="115" t="s">
        <v>551</v>
      </c>
      <c r="AS22" s="218" t="s">
        <v>552</v>
      </c>
      <c r="AT22" s="116" t="s">
        <v>402</v>
      </c>
      <c r="AU22" s="224" t="s">
        <v>403</v>
      </c>
      <c r="AV22" s="229"/>
      <c r="AX22" s="9" t="s">
        <v>551</v>
      </c>
      <c r="AY22" s="111" t="s">
        <v>553</v>
      </c>
      <c r="AZ22" s="76" t="s">
        <v>496</v>
      </c>
      <c r="BA22" s="76" t="s">
        <v>528</v>
      </c>
      <c r="BB22" s="148" t="s">
        <v>391</v>
      </c>
      <c r="BC22" s="94" t="s">
        <v>405</v>
      </c>
      <c r="BD22" s="626" t="s">
        <v>393</v>
      </c>
      <c r="BF22" s="552" t="s">
        <v>421</v>
      </c>
    </row>
    <row r="23" spans="1:58" ht="14.25" customHeight="1" thickBot="1">
      <c r="A23" s="9" t="s">
        <v>551</v>
      </c>
      <c r="B23" s="132" t="s">
        <v>554</v>
      </c>
      <c r="C23" s="139">
        <v>0.14900000000000002</v>
      </c>
      <c r="D23" s="140">
        <v>0.14600000000000002</v>
      </c>
      <c r="E23" s="140">
        <v>0.13400000000000001</v>
      </c>
      <c r="F23" s="140">
        <v>0.106</v>
      </c>
      <c r="G23" s="145">
        <v>0.17100000000000001</v>
      </c>
      <c r="H23" s="145">
        <v>0.186</v>
      </c>
      <c r="I23" s="145">
        <v>0.16800000000000001</v>
      </c>
      <c r="J23" s="145">
        <v>0.183</v>
      </c>
      <c r="K23" s="145">
        <v>0.156</v>
      </c>
      <c r="L23" s="145">
        <v>0.128</v>
      </c>
      <c r="M23" s="185"/>
      <c r="N23" s="148" t="s">
        <v>378</v>
      </c>
      <c r="O23" s="76" t="s">
        <v>555</v>
      </c>
      <c r="P23" s="24"/>
      <c r="Q23" s="24"/>
      <c r="R23" s="24"/>
      <c r="S23" s="24"/>
      <c r="T23" s="4" t="s">
        <v>556</v>
      </c>
      <c r="V23" s="6" t="s">
        <v>380</v>
      </c>
      <c r="W23" s="4" t="s">
        <v>557</v>
      </c>
      <c r="Y23" s="595" t="s">
        <v>382</v>
      </c>
      <c r="Z23" s="596">
        <v>0.2</v>
      </c>
      <c r="AA23" s="39" t="s">
        <v>383</v>
      </c>
      <c r="AB23" s="34" t="s">
        <v>558</v>
      </c>
      <c r="AC23" s="43" t="str">
        <f t="shared" si="0"/>
        <v>東京都足立区</v>
      </c>
      <c r="AD23" s="45">
        <v>11.4</v>
      </c>
      <c r="AE23" s="33">
        <v>11.1</v>
      </c>
      <c r="AF23" s="87">
        <v>10.9</v>
      </c>
      <c r="AG23" s="9" t="s">
        <v>559</v>
      </c>
      <c r="AH23" s="596">
        <v>0.55000000000000004</v>
      </c>
      <c r="AI23" s="24"/>
      <c r="AJ23" s="1"/>
      <c r="AK23" s="1"/>
      <c r="AL23" s="1"/>
      <c r="AM23" s="1"/>
      <c r="AN23" s="1"/>
      <c r="AO23" s="9" t="s">
        <v>559</v>
      </c>
      <c r="AP23" s="119" t="s">
        <v>363</v>
      </c>
      <c r="AQ23" s="216"/>
      <c r="AR23" s="9" t="s">
        <v>559</v>
      </c>
      <c r="AS23" s="218" t="s">
        <v>560</v>
      </c>
      <c r="AT23" s="116" t="s">
        <v>402</v>
      </c>
      <c r="AU23" s="224" t="s">
        <v>403</v>
      </c>
      <c r="AV23" s="229"/>
      <c r="AX23" s="9" t="s">
        <v>559</v>
      </c>
      <c r="AY23" s="111" t="s">
        <v>561</v>
      </c>
      <c r="AZ23" s="76" t="s">
        <v>496</v>
      </c>
      <c r="BA23" s="76" t="s">
        <v>528</v>
      </c>
      <c r="BB23" s="148" t="s">
        <v>391</v>
      </c>
      <c r="BC23" s="94" t="s">
        <v>405</v>
      </c>
      <c r="BD23" s="626" t="s">
        <v>393</v>
      </c>
      <c r="BF23" s="551" t="s">
        <v>430</v>
      </c>
    </row>
    <row r="24" spans="1:58" ht="14.25" customHeight="1" thickBot="1">
      <c r="A24" s="9" t="s">
        <v>559</v>
      </c>
      <c r="B24" s="132" t="s">
        <v>562</v>
      </c>
      <c r="C24" s="139">
        <v>0.14900000000000002</v>
      </c>
      <c r="D24" s="140">
        <v>0.14600000000000002</v>
      </c>
      <c r="E24" s="140">
        <v>0.13400000000000001</v>
      </c>
      <c r="F24" s="140">
        <v>0.106</v>
      </c>
      <c r="G24" s="145">
        <v>0.16800000000000001</v>
      </c>
      <c r="H24" s="145">
        <v>0.17699999999999999</v>
      </c>
      <c r="I24" s="145">
        <v>0.16500000000000001</v>
      </c>
      <c r="J24" s="145">
        <v>0.17399999999999999</v>
      </c>
      <c r="K24" s="145">
        <v>0.153</v>
      </c>
      <c r="L24" s="145">
        <v>0.125</v>
      </c>
      <c r="M24" s="185"/>
      <c r="N24" s="148" t="s">
        <v>378</v>
      </c>
      <c r="O24" s="76" t="s">
        <v>395</v>
      </c>
      <c r="P24" s="24"/>
      <c r="Q24" s="24"/>
      <c r="R24" s="24"/>
      <c r="S24" s="24"/>
      <c r="T24" s="4" t="s">
        <v>563</v>
      </c>
      <c r="V24" s="6" t="s">
        <v>380</v>
      </c>
      <c r="W24" s="4" t="s">
        <v>564</v>
      </c>
      <c r="Y24" s="595" t="s">
        <v>382</v>
      </c>
      <c r="Z24" s="596">
        <v>0.2</v>
      </c>
      <c r="AA24" s="39" t="s">
        <v>383</v>
      </c>
      <c r="AB24" s="34" t="s">
        <v>565</v>
      </c>
      <c r="AC24" s="43" t="str">
        <f t="shared" si="0"/>
        <v>東京都葛飾区</v>
      </c>
      <c r="AD24" s="45">
        <v>11.4</v>
      </c>
      <c r="AE24" s="33">
        <v>11.1</v>
      </c>
      <c r="AF24" s="87">
        <v>10.9</v>
      </c>
      <c r="AG24" s="9" t="s">
        <v>566</v>
      </c>
      <c r="AH24" s="596">
        <v>0.55000000000000004</v>
      </c>
      <c r="AI24" s="24"/>
      <c r="AJ24" s="1"/>
      <c r="AK24" s="1"/>
      <c r="AL24" s="1"/>
      <c r="AM24" s="1"/>
      <c r="AN24" s="1"/>
      <c r="AO24" s="9" t="s">
        <v>566</v>
      </c>
      <c r="AP24" s="119" t="s">
        <v>427</v>
      </c>
      <c r="AQ24" s="216"/>
      <c r="AR24" s="9" t="s">
        <v>566</v>
      </c>
      <c r="AS24" s="218" t="s">
        <v>567</v>
      </c>
      <c r="AT24" s="116" t="s">
        <v>402</v>
      </c>
      <c r="AU24" s="224" t="s">
        <v>403</v>
      </c>
      <c r="AV24" s="229"/>
      <c r="AX24" s="9" t="s">
        <v>566</v>
      </c>
      <c r="AY24" s="111" t="s">
        <v>568</v>
      </c>
      <c r="AZ24" s="76" t="s">
        <v>496</v>
      </c>
      <c r="BA24" s="76" t="s">
        <v>528</v>
      </c>
      <c r="BB24" s="148" t="s">
        <v>391</v>
      </c>
      <c r="BC24" s="94" t="s">
        <v>405</v>
      </c>
      <c r="BD24" s="626" t="s">
        <v>393</v>
      </c>
      <c r="BF24" s="551" t="s">
        <v>569</v>
      </c>
    </row>
    <row r="25" spans="1:58" ht="14.25" customHeight="1" thickBot="1">
      <c r="A25" s="9" t="s">
        <v>566</v>
      </c>
      <c r="B25" s="132" t="s">
        <v>570</v>
      </c>
      <c r="C25" s="139">
        <v>0.14900000000000002</v>
      </c>
      <c r="D25" s="140">
        <v>0.14600000000000002</v>
      </c>
      <c r="E25" s="140">
        <v>0.13400000000000001</v>
      </c>
      <c r="F25" s="140">
        <v>0.106</v>
      </c>
      <c r="G25" s="145">
        <v>0.16800000000000001</v>
      </c>
      <c r="H25" s="145">
        <v>0.17699999999999999</v>
      </c>
      <c r="I25" s="145">
        <v>0.16500000000000001</v>
      </c>
      <c r="J25" s="145">
        <v>0.17399999999999999</v>
      </c>
      <c r="K25" s="145">
        <v>0.153</v>
      </c>
      <c r="L25" s="145">
        <v>0.125</v>
      </c>
      <c r="M25" s="185"/>
      <c r="N25" s="148" t="s">
        <v>378</v>
      </c>
      <c r="O25" s="76" t="s">
        <v>482</v>
      </c>
      <c r="P25" s="24"/>
      <c r="Q25" s="24"/>
      <c r="R25" s="24"/>
      <c r="S25" s="24"/>
      <c r="T25" s="4" t="s">
        <v>571</v>
      </c>
      <c r="V25" s="6" t="s">
        <v>380</v>
      </c>
      <c r="W25" s="4" t="s">
        <v>572</v>
      </c>
      <c r="Y25" s="597" t="s">
        <v>382</v>
      </c>
      <c r="Z25" s="598">
        <v>0.2</v>
      </c>
      <c r="AA25" s="40" t="s">
        <v>383</v>
      </c>
      <c r="AB25" s="37" t="s">
        <v>573</v>
      </c>
      <c r="AC25" s="57" t="str">
        <f t="shared" si="0"/>
        <v>東京都江戸川区</v>
      </c>
      <c r="AD25" s="58">
        <v>11.4</v>
      </c>
      <c r="AE25" s="59">
        <v>11.1</v>
      </c>
      <c r="AF25" s="88">
        <v>10.9</v>
      </c>
      <c r="AG25" s="595" t="s">
        <v>574</v>
      </c>
      <c r="AH25" s="596">
        <v>0.45</v>
      </c>
      <c r="AI25" s="24"/>
      <c r="AJ25" s="1"/>
      <c r="AK25" s="1"/>
      <c r="AL25" s="1"/>
      <c r="AM25" s="1"/>
      <c r="AN25" s="1"/>
      <c r="AO25" s="118" t="s">
        <v>574</v>
      </c>
      <c r="AP25" s="119" t="s">
        <v>363</v>
      </c>
      <c r="AQ25" s="216"/>
      <c r="AR25" s="115" t="s">
        <v>574</v>
      </c>
      <c r="AS25" s="218" t="s">
        <v>575</v>
      </c>
      <c r="AT25" s="116" t="s">
        <v>402</v>
      </c>
      <c r="AU25" s="224" t="s">
        <v>403</v>
      </c>
      <c r="AV25" s="229"/>
      <c r="AX25" s="9" t="s">
        <v>576</v>
      </c>
      <c r="AY25" s="111" t="s">
        <v>577</v>
      </c>
      <c r="AZ25" s="76" t="s">
        <v>496</v>
      </c>
      <c r="BA25" s="76" t="s">
        <v>528</v>
      </c>
      <c r="BB25" s="148" t="s">
        <v>393</v>
      </c>
      <c r="BC25" s="94"/>
      <c r="BD25" s="626"/>
      <c r="BF25" s="110"/>
    </row>
    <row r="26" spans="1:58" ht="14.25" customHeight="1" thickBot="1">
      <c r="A26" s="9" t="s">
        <v>576</v>
      </c>
      <c r="B26" s="132" t="s">
        <v>578</v>
      </c>
      <c r="C26" s="139">
        <v>0.186</v>
      </c>
      <c r="D26" s="140">
        <v>0.17799999999999999</v>
      </c>
      <c r="E26" s="140">
        <v>0.155</v>
      </c>
      <c r="F26" s="140">
        <v>0.125</v>
      </c>
      <c r="G26" s="146">
        <v>0.21</v>
      </c>
      <c r="H26" s="146">
        <v>0.22800000000000001</v>
      </c>
      <c r="I26" s="146">
        <v>0.20200000000000001</v>
      </c>
      <c r="J26" s="146">
        <v>0.22</v>
      </c>
      <c r="K26" s="146">
        <v>0.17899999999999999</v>
      </c>
      <c r="L26" s="146">
        <v>0.14899999999999999</v>
      </c>
      <c r="M26" s="186"/>
      <c r="N26" s="148" t="s">
        <v>378</v>
      </c>
      <c r="O26" s="76" t="s">
        <v>395</v>
      </c>
      <c r="P26" s="24"/>
      <c r="Q26" s="24"/>
      <c r="R26" s="24"/>
      <c r="S26" s="24"/>
      <c r="T26" s="4" t="s">
        <v>579</v>
      </c>
      <c r="V26" s="6" t="s">
        <v>380</v>
      </c>
      <c r="W26" s="4" t="s">
        <v>580</v>
      </c>
      <c r="Y26" s="599" t="s">
        <v>581</v>
      </c>
      <c r="Z26" s="600">
        <v>0.16</v>
      </c>
      <c r="AA26" s="47" t="s">
        <v>383</v>
      </c>
      <c r="AB26" s="35" t="s">
        <v>582</v>
      </c>
      <c r="AC26" s="53" t="str">
        <f t="shared" si="0"/>
        <v>東京都調布市</v>
      </c>
      <c r="AD26" s="61">
        <v>11.12</v>
      </c>
      <c r="AE26" s="50">
        <v>10.88</v>
      </c>
      <c r="AF26" s="68">
        <v>10.72</v>
      </c>
      <c r="AG26" s="595" t="s">
        <v>583</v>
      </c>
      <c r="AH26" s="596">
        <v>0.45</v>
      </c>
      <c r="AI26" s="24"/>
      <c r="AJ26" s="1"/>
      <c r="AK26" s="1"/>
      <c r="AL26" s="1"/>
      <c r="AM26" s="1"/>
      <c r="AN26" s="1"/>
      <c r="AO26" s="118" t="s">
        <v>583</v>
      </c>
      <c r="AP26" s="119" t="s">
        <v>427</v>
      </c>
      <c r="AQ26" s="216"/>
      <c r="AR26" s="115" t="s">
        <v>583</v>
      </c>
      <c r="AS26" s="218" t="s">
        <v>584</v>
      </c>
      <c r="AT26" s="116" t="s">
        <v>402</v>
      </c>
      <c r="AU26" s="224" t="s">
        <v>403</v>
      </c>
      <c r="AV26" s="229"/>
      <c r="AX26" s="9" t="s">
        <v>583</v>
      </c>
      <c r="AY26" s="111" t="s">
        <v>585</v>
      </c>
      <c r="AZ26" s="76" t="s">
        <v>496</v>
      </c>
      <c r="BA26" s="76" t="s">
        <v>528</v>
      </c>
      <c r="BB26" s="148" t="s">
        <v>393</v>
      </c>
      <c r="BC26" s="94"/>
      <c r="BD26" s="626"/>
    </row>
    <row r="27" spans="1:58" ht="14.25" customHeight="1" thickBot="1">
      <c r="A27" s="9" t="s">
        <v>583</v>
      </c>
      <c r="B27" s="132" t="s">
        <v>586</v>
      </c>
      <c r="C27" s="139">
        <v>0.186</v>
      </c>
      <c r="D27" s="140">
        <v>0.17799999999999999</v>
      </c>
      <c r="E27" s="140">
        <v>0.155</v>
      </c>
      <c r="F27" s="140">
        <v>0.125</v>
      </c>
      <c r="G27" s="146">
        <v>0.21</v>
      </c>
      <c r="H27" s="146">
        <v>0.22800000000000001</v>
      </c>
      <c r="I27" s="146">
        <v>0.20200000000000001</v>
      </c>
      <c r="J27" s="146">
        <v>0.22</v>
      </c>
      <c r="K27" s="146">
        <v>0.17899999999999999</v>
      </c>
      <c r="L27" s="146">
        <v>0.14899999999999999</v>
      </c>
      <c r="M27" s="186"/>
      <c r="N27" s="148" t="s">
        <v>378</v>
      </c>
      <c r="O27" s="76" t="s">
        <v>482</v>
      </c>
      <c r="P27" s="24"/>
      <c r="Q27" s="24"/>
      <c r="R27" s="24"/>
      <c r="S27" s="24"/>
      <c r="T27" s="4" t="s">
        <v>587</v>
      </c>
      <c r="V27" s="6" t="s">
        <v>380</v>
      </c>
      <c r="W27" s="4" t="s">
        <v>588</v>
      </c>
      <c r="Y27" s="595" t="s">
        <v>581</v>
      </c>
      <c r="Z27" s="596">
        <v>0.16</v>
      </c>
      <c r="AA27" s="39" t="s">
        <v>383</v>
      </c>
      <c r="AB27" s="34" t="s">
        <v>589</v>
      </c>
      <c r="AC27" s="51" t="str">
        <f t="shared" si="0"/>
        <v>東京都町田市</v>
      </c>
      <c r="AD27" s="32">
        <v>11.12</v>
      </c>
      <c r="AE27" s="34">
        <v>10.88</v>
      </c>
      <c r="AF27" s="53">
        <v>10.72</v>
      </c>
      <c r="AG27" s="595" t="s">
        <v>590</v>
      </c>
      <c r="AH27" s="596">
        <v>0.45</v>
      </c>
      <c r="AI27" s="24"/>
      <c r="AJ27" s="1"/>
      <c r="AK27" s="1"/>
      <c r="AL27" s="1"/>
      <c r="AM27" s="1"/>
      <c r="AN27" s="1"/>
      <c r="AO27" s="118" t="s">
        <v>591</v>
      </c>
      <c r="AP27" s="119" t="s">
        <v>427</v>
      </c>
      <c r="AQ27" s="216"/>
      <c r="AR27" s="115" t="s">
        <v>591</v>
      </c>
      <c r="AS27" s="218" t="s">
        <v>592</v>
      </c>
      <c r="AT27" s="116" t="s">
        <v>402</v>
      </c>
      <c r="AU27" s="224" t="s">
        <v>403</v>
      </c>
      <c r="AV27" s="229"/>
      <c r="AX27" s="9" t="s">
        <v>593</v>
      </c>
      <c r="AY27" s="111" t="s">
        <v>594</v>
      </c>
      <c r="AZ27" s="76" t="s">
        <v>496</v>
      </c>
      <c r="BA27" s="76" t="s">
        <v>528</v>
      </c>
      <c r="BB27" s="148" t="s">
        <v>393</v>
      </c>
      <c r="BC27" s="94"/>
      <c r="BD27" s="626"/>
    </row>
    <row r="28" spans="1:58" ht="14.25" customHeight="1" thickBot="1">
      <c r="A28" s="9" t="s">
        <v>593</v>
      </c>
      <c r="B28" s="132" t="s">
        <v>595</v>
      </c>
      <c r="C28" s="139">
        <v>0.186</v>
      </c>
      <c r="D28" s="140">
        <v>0.17799999999999999</v>
      </c>
      <c r="E28" s="140">
        <v>0.155</v>
      </c>
      <c r="F28" s="140">
        <v>0.125</v>
      </c>
      <c r="G28" s="146">
        <v>0.21</v>
      </c>
      <c r="H28" s="146">
        <v>0.22800000000000001</v>
      </c>
      <c r="I28" s="146">
        <v>0.20200000000000001</v>
      </c>
      <c r="J28" s="146">
        <v>0.22</v>
      </c>
      <c r="K28" s="146">
        <v>0.17899999999999999</v>
      </c>
      <c r="L28" s="146">
        <v>0.14899999999999999</v>
      </c>
      <c r="M28" s="186"/>
      <c r="N28" s="148" t="s">
        <v>378</v>
      </c>
      <c r="O28" s="76" t="s">
        <v>432</v>
      </c>
      <c r="P28" s="24"/>
      <c r="Q28" s="24"/>
      <c r="R28" s="24"/>
      <c r="S28" s="24"/>
      <c r="T28" s="4" t="s">
        <v>596</v>
      </c>
      <c r="V28" s="6" t="s">
        <v>380</v>
      </c>
      <c r="W28" s="4" t="s">
        <v>597</v>
      </c>
      <c r="Y28" s="595" t="s">
        <v>581</v>
      </c>
      <c r="Z28" s="596">
        <v>0.16</v>
      </c>
      <c r="AA28" s="39" t="s">
        <v>383</v>
      </c>
      <c r="AB28" s="34" t="s">
        <v>598</v>
      </c>
      <c r="AC28" s="51" t="str">
        <f t="shared" si="0"/>
        <v>東京都狛江市</v>
      </c>
      <c r="AD28" s="32">
        <v>11.12</v>
      </c>
      <c r="AE28" s="34">
        <v>10.88</v>
      </c>
      <c r="AF28" s="51">
        <v>10.72</v>
      </c>
      <c r="AG28" s="595" t="s">
        <v>599</v>
      </c>
      <c r="AH28" s="596">
        <v>0.45</v>
      </c>
      <c r="AI28" s="24"/>
      <c r="AJ28" s="1"/>
      <c r="AK28" s="1"/>
      <c r="AL28" s="1"/>
      <c r="AM28" s="1"/>
      <c r="AN28" s="1"/>
      <c r="AO28" s="118" t="s">
        <v>600</v>
      </c>
      <c r="AP28" s="119" t="s">
        <v>601</v>
      </c>
      <c r="AQ28" s="216"/>
      <c r="AR28" s="115" t="s">
        <v>600</v>
      </c>
      <c r="AS28" s="218" t="s">
        <v>602</v>
      </c>
      <c r="AT28" s="116" t="s">
        <v>402</v>
      </c>
      <c r="AU28" s="224" t="s">
        <v>403</v>
      </c>
      <c r="AV28" s="229"/>
      <c r="AX28" s="9" t="s">
        <v>600</v>
      </c>
      <c r="AY28" s="111" t="s">
        <v>603</v>
      </c>
      <c r="AZ28" s="76" t="s">
        <v>496</v>
      </c>
      <c r="BA28" s="76" t="s">
        <v>528</v>
      </c>
      <c r="BB28" s="148" t="s">
        <v>393</v>
      </c>
      <c r="BC28" s="94"/>
      <c r="BD28" s="626"/>
    </row>
    <row r="29" spans="1:58" ht="14.25" customHeight="1" thickBot="1">
      <c r="A29" s="9" t="s">
        <v>600</v>
      </c>
      <c r="B29" s="132" t="s">
        <v>604</v>
      </c>
      <c r="C29" s="139">
        <v>0.186</v>
      </c>
      <c r="D29" s="140">
        <v>0.17799999999999999</v>
      </c>
      <c r="E29" s="140">
        <v>0.155</v>
      </c>
      <c r="F29" s="140">
        <v>0.125</v>
      </c>
      <c r="G29" s="146">
        <v>0.21</v>
      </c>
      <c r="H29" s="146">
        <v>0.22800000000000001</v>
      </c>
      <c r="I29" s="146">
        <v>0.20200000000000001</v>
      </c>
      <c r="J29" s="146">
        <v>0.22</v>
      </c>
      <c r="K29" s="146">
        <v>0.17899999999999999</v>
      </c>
      <c r="L29" s="146">
        <v>0.14899999999999999</v>
      </c>
      <c r="M29" s="186"/>
      <c r="N29" s="148" t="s">
        <v>378</v>
      </c>
      <c r="O29" s="76" t="s">
        <v>555</v>
      </c>
      <c r="P29" s="24"/>
      <c r="Q29" s="24"/>
      <c r="R29" s="24"/>
      <c r="S29" s="24"/>
      <c r="T29" s="4" t="s">
        <v>605</v>
      </c>
      <c r="V29" s="6" t="s">
        <v>380</v>
      </c>
      <c r="W29" s="4" t="s">
        <v>606</v>
      </c>
      <c r="Y29" s="595" t="s">
        <v>581</v>
      </c>
      <c r="Z29" s="596">
        <v>0.16</v>
      </c>
      <c r="AA29" s="39" t="s">
        <v>383</v>
      </c>
      <c r="AB29" s="34" t="s">
        <v>607</v>
      </c>
      <c r="AC29" s="51" t="str">
        <f t="shared" si="0"/>
        <v>東京都多摩市</v>
      </c>
      <c r="AD29" s="32">
        <v>11.12</v>
      </c>
      <c r="AE29" s="34">
        <v>10.88</v>
      </c>
      <c r="AF29" s="51">
        <v>10.72</v>
      </c>
      <c r="AG29" s="595" t="s">
        <v>608</v>
      </c>
      <c r="AH29" s="596">
        <v>0.45</v>
      </c>
      <c r="AI29" s="24"/>
      <c r="AJ29" s="1"/>
      <c r="AK29" s="1"/>
      <c r="AL29" s="1"/>
      <c r="AM29" s="1"/>
      <c r="AN29" s="1"/>
      <c r="AO29" s="121" t="s">
        <v>609</v>
      </c>
      <c r="AP29" s="119" t="s">
        <v>363</v>
      </c>
      <c r="AQ29" s="216"/>
      <c r="AR29" s="4" t="s">
        <v>609</v>
      </c>
      <c r="AS29" s="218" t="s">
        <v>610</v>
      </c>
      <c r="AT29" s="116" t="s">
        <v>402</v>
      </c>
      <c r="AU29" s="224" t="s">
        <v>403</v>
      </c>
      <c r="AV29" s="120" t="s">
        <v>611</v>
      </c>
      <c r="AX29" s="9" t="s">
        <v>612</v>
      </c>
      <c r="AY29" s="111" t="s">
        <v>613</v>
      </c>
      <c r="AZ29" s="76" t="s">
        <v>496</v>
      </c>
      <c r="BA29" s="76" t="s">
        <v>528</v>
      </c>
      <c r="BB29" s="148" t="s">
        <v>393</v>
      </c>
      <c r="BC29" s="94"/>
      <c r="BD29" s="626"/>
    </row>
    <row r="30" spans="1:58" ht="14.25" customHeight="1" thickBot="1">
      <c r="A30" s="9" t="s">
        <v>612</v>
      </c>
      <c r="B30" s="132" t="s">
        <v>614</v>
      </c>
      <c r="C30" s="139">
        <v>0.14000000000000001</v>
      </c>
      <c r="D30" s="140">
        <v>0.13600000000000001</v>
      </c>
      <c r="E30" s="140">
        <v>0.113</v>
      </c>
      <c r="F30" s="140">
        <v>0.09</v>
      </c>
      <c r="G30" s="146">
        <v>0.16300000000000001</v>
      </c>
      <c r="H30" s="146">
        <v>0.17599999999999999</v>
      </c>
      <c r="I30" s="146">
        <v>0.159</v>
      </c>
      <c r="J30" s="146">
        <v>0.17199999999999999</v>
      </c>
      <c r="K30" s="145">
        <v>0.13600000000000001</v>
      </c>
      <c r="L30" s="145">
        <v>0.113</v>
      </c>
      <c r="M30" s="185"/>
      <c r="N30" s="148" t="s">
        <v>378</v>
      </c>
      <c r="O30" s="76" t="s">
        <v>395</v>
      </c>
      <c r="P30" s="24"/>
      <c r="Q30" s="24"/>
      <c r="R30" s="24"/>
      <c r="S30" s="24"/>
      <c r="T30" s="4" t="s">
        <v>615</v>
      </c>
      <c r="V30" s="6" t="s">
        <v>380</v>
      </c>
      <c r="W30" s="4" t="s">
        <v>616</v>
      </c>
      <c r="Y30" s="595" t="s">
        <v>581</v>
      </c>
      <c r="Z30" s="596">
        <v>0.16</v>
      </c>
      <c r="AA30" s="39" t="s">
        <v>617</v>
      </c>
      <c r="AB30" s="34" t="s">
        <v>618</v>
      </c>
      <c r="AC30" s="51" t="str">
        <f t="shared" si="0"/>
        <v>神奈川県横浜市</v>
      </c>
      <c r="AD30" s="32">
        <v>11.12</v>
      </c>
      <c r="AE30" s="34">
        <v>10.88</v>
      </c>
      <c r="AF30" s="51">
        <v>10.72</v>
      </c>
      <c r="AG30" s="595" t="s">
        <v>619</v>
      </c>
      <c r="AH30" s="596">
        <v>0.45</v>
      </c>
      <c r="AI30" s="24"/>
      <c r="AJ30" s="1"/>
      <c r="AK30" s="1"/>
      <c r="AL30" s="1"/>
      <c r="AM30" s="1"/>
      <c r="AN30" s="1"/>
      <c r="AO30" s="118" t="s">
        <v>619</v>
      </c>
      <c r="AP30" s="119" t="s">
        <v>363</v>
      </c>
      <c r="AQ30" s="216"/>
      <c r="AR30" s="115" t="s">
        <v>619</v>
      </c>
      <c r="AS30" s="218" t="s">
        <v>620</v>
      </c>
      <c r="AT30" s="116" t="s">
        <v>402</v>
      </c>
      <c r="AU30" s="224" t="s">
        <v>403</v>
      </c>
      <c r="AV30" s="120" t="s">
        <v>611</v>
      </c>
      <c r="AX30" s="9" t="s">
        <v>619</v>
      </c>
      <c r="AY30" s="111" t="s">
        <v>621</v>
      </c>
      <c r="AZ30" s="76" t="s">
        <v>496</v>
      </c>
      <c r="BA30" s="76" t="s">
        <v>528</v>
      </c>
      <c r="BB30" s="148" t="s">
        <v>393</v>
      </c>
      <c r="BC30" s="94"/>
      <c r="BD30" s="626"/>
    </row>
    <row r="31" spans="1:58" ht="14.25" customHeight="1" thickBot="1">
      <c r="A31" s="9" t="s">
        <v>619</v>
      </c>
      <c r="B31" s="132" t="s">
        <v>622</v>
      </c>
      <c r="C31" s="139">
        <v>0.14000000000000001</v>
      </c>
      <c r="D31" s="140">
        <v>0.13600000000000001</v>
      </c>
      <c r="E31" s="140">
        <v>0.113</v>
      </c>
      <c r="F31" s="140">
        <v>0.09</v>
      </c>
      <c r="G31" s="146">
        <v>0.16300000000000001</v>
      </c>
      <c r="H31" s="146">
        <v>0.17599999999999999</v>
      </c>
      <c r="I31" s="146">
        <v>0.159</v>
      </c>
      <c r="J31" s="146">
        <v>0.17199999999999999</v>
      </c>
      <c r="K31" s="145">
        <v>0.13600000000000001</v>
      </c>
      <c r="L31" s="145">
        <v>0.113</v>
      </c>
      <c r="M31" s="185"/>
      <c r="N31" s="148" t="s">
        <v>378</v>
      </c>
      <c r="O31" s="76" t="s">
        <v>395</v>
      </c>
      <c r="P31" s="24"/>
      <c r="Q31" s="24"/>
      <c r="R31" s="24"/>
      <c r="S31" s="24"/>
      <c r="T31" s="4" t="s">
        <v>623</v>
      </c>
      <c r="V31" s="6" t="s">
        <v>380</v>
      </c>
      <c r="W31" s="4" t="s">
        <v>624</v>
      </c>
      <c r="Y31" s="595" t="s">
        <v>581</v>
      </c>
      <c r="Z31" s="596">
        <v>0.16</v>
      </c>
      <c r="AA31" s="39" t="s">
        <v>617</v>
      </c>
      <c r="AB31" s="34" t="s">
        <v>625</v>
      </c>
      <c r="AC31" s="51" t="str">
        <f t="shared" si="0"/>
        <v>神奈川県川崎市</v>
      </c>
      <c r="AD31" s="32">
        <v>11.12</v>
      </c>
      <c r="AE31" s="34">
        <v>10.88</v>
      </c>
      <c r="AF31" s="51">
        <v>10.72</v>
      </c>
      <c r="AG31" s="595" t="s">
        <v>626</v>
      </c>
      <c r="AH31" s="596">
        <v>0.55000000000000004</v>
      </c>
      <c r="AI31" s="24"/>
      <c r="AJ31" s="1"/>
      <c r="AK31" s="1"/>
      <c r="AL31" s="1"/>
      <c r="AM31" s="1"/>
      <c r="AN31" s="1"/>
      <c r="AO31" s="118" t="s">
        <v>626</v>
      </c>
      <c r="AP31" s="119" t="s">
        <v>427</v>
      </c>
      <c r="AQ31" s="216"/>
      <c r="AR31" s="115" t="s">
        <v>626</v>
      </c>
      <c r="AS31" s="218" t="s">
        <v>627</v>
      </c>
      <c r="AT31" s="116" t="s">
        <v>402</v>
      </c>
      <c r="AU31" s="224" t="s">
        <v>403</v>
      </c>
      <c r="AV31" s="120" t="s">
        <v>628</v>
      </c>
      <c r="AX31" s="9" t="s">
        <v>629</v>
      </c>
      <c r="AY31" s="111" t="s">
        <v>630</v>
      </c>
      <c r="AZ31" s="76" t="s">
        <v>496</v>
      </c>
      <c r="BA31" s="76" t="s">
        <v>528</v>
      </c>
      <c r="BB31" s="148" t="s">
        <v>391</v>
      </c>
      <c r="BC31" s="94" t="s">
        <v>405</v>
      </c>
      <c r="BD31" s="626" t="s">
        <v>393</v>
      </c>
    </row>
    <row r="32" spans="1:58" ht="14.25" customHeight="1" thickBot="1">
      <c r="A32" s="9" t="s">
        <v>629</v>
      </c>
      <c r="B32" s="132" t="s">
        <v>631</v>
      </c>
      <c r="C32" s="139">
        <v>0.14000000000000001</v>
      </c>
      <c r="D32" s="140">
        <v>0.13600000000000001</v>
      </c>
      <c r="E32" s="140">
        <v>0.113</v>
      </c>
      <c r="F32" s="140">
        <v>0.09</v>
      </c>
      <c r="G32" s="146">
        <v>0.16300000000000001</v>
      </c>
      <c r="H32" s="146">
        <v>0.17599999999999999</v>
      </c>
      <c r="I32" s="146">
        <v>0.159</v>
      </c>
      <c r="J32" s="146">
        <v>0.17199999999999999</v>
      </c>
      <c r="K32" s="146">
        <v>0.13600000000000001</v>
      </c>
      <c r="L32" s="146">
        <v>0.113</v>
      </c>
      <c r="M32" s="186"/>
      <c r="N32" s="148" t="s">
        <v>378</v>
      </c>
      <c r="O32" s="76" t="s">
        <v>395</v>
      </c>
      <c r="P32" s="24"/>
      <c r="Q32" s="24"/>
      <c r="R32" s="24"/>
      <c r="S32" s="24"/>
      <c r="T32" s="4" t="s">
        <v>632</v>
      </c>
      <c r="V32" s="6" t="s">
        <v>380</v>
      </c>
      <c r="W32" s="4" t="s">
        <v>633</v>
      </c>
      <c r="Y32" s="601" t="s">
        <v>581</v>
      </c>
      <c r="Z32" s="602">
        <v>0.16</v>
      </c>
      <c r="AA32" s="52" t="s">
        <v>634</v>
      </c>
      <c r="AB32" s="48" t="s">
        <v>635</v>
      </c>
      <c r="AC32" s="60" t="str">
        <f t="shared" si="0"/>
        <v>大阪府大阪市</v>
      </c>
      <c r="AD32" s="36">
        <v>11.12</v>
      </c>
      <c r="AE32" s="37">
        <v>10.88</v>
      </c>
      <c r="AF32" s="69">
        <v>10.72</v>
      </c>
      <c r="AG32" s="595" t="s">
        <v>636</v>
      </c>
      <c r="AH32" s="596">
        <v>0.55000000000000004</v>
      </c>
      <c r="AI32" s="24"/>
      <c r="AJ32" s="1"/>
      <c r="AK32" s="1"/>
      <c r="AL32" s="1"/>
      <c r="AM32" s="1"/>
      <c r="AN32" s="1"/>
      <c r="AO32" s="118" t="s">
        <v>636</v>
      </c>
      <c r="AP32" s="119" t="s">
        <v>427</v>
      </c>
      <c r="AQ32" s="216"/>
      <c r="AR32" s="115" t="s">
        <v>636</v>
      </c>
      <c r="AS32" s="218" t="s">
        <v>637</v>
      </c>
      <c r="AT32" s="116" t="s">
        <v>402</v>
      </c>
      <c r="AU32" s="224" t="s">
        <v>403</v>
      </c>
      <c r="AV32" s="120" t="s">
        <v>628</v>
      </c>
      <c r="AX32" s="9" t="s">
        <v>638</v>
      </c>
      <c r="AY32" s="111" t="s">
        <v>639</v>
      </c>
      <c r="AZ32" s="76" t="s">
        <v>496</v>
      </c>
      <c r="BA32" s="76" t="s">
        <v>528</v>
      </c>
      <c r="BB32" s="148" t="s">
        <v>391</v>
      </c>
      <c r="BC32" s="94" t="s">
        <v>405</v>
      </c>
      <c r="BD32" s="626" t="s">
        <v>393</v>
      </c>
    </row>
    <row r="33" spans="1:56" ht="14.25" customHeight="1" thickBot="1">
      <c r="A33" s="9" t="s">
        <v>638</v>
      </c>
      <c r="B33" s="132" t="s">
        <v>640</v>
      </c>
      <c r="C33" s="139">
        <v>0.14000000000000001</v>
      </c>
      <c r="D33" s="140">
        <v>0.13600000000000001</v>
      </c>
      <c r="E33" s="140">
        <v>0.113</v>
      </c>
      <c r="F33" s="140">
        <v>0.09</v>
      </c>
      <c r="G33" s="146">
        <v>0.16300000000000001</v>
      </c>
      <c r="H33" s="146">
        <v>0.17599999999999999</v>
      </c>
      <c r="I33" s="146">
        <v>0.159</v>
      </c>
      <c r="J33" s="146">
        <v>0.17199999999999999</v>
      </c>
      <c r="K33" s="146">
        <v>0.13600000000000001</v>
      </c>
      <c r="L33" s="146">
        <v>0.113</v>
      </c>
      <c r="M33" s="186"/>
      <c r="N33" s="148" t="s">
        <v>378</v>
      </c>
      <c r="O33" s="76" t="s">
        <v>432</v>
      </c>
      <c r="P33" s="24"/>
      <c r="Q33" s="24"/>
      <c r="R33" s="24"/>
      <c r="S33" s="24"/>
      <c r="T33" s="4" t="s">
        <v>641</v>
      </c>
      <c r="V33" s="6" t="s">
        <v>380</v>
      </c>
      <c r="W33" s="4" t="s">
        <v>642</v>
      </c>
      <c r="Y33" s="593" t="s">
        <v>643</v>
      </c>
      <c r="Z33" s="594">
        <v>0.15</v>
      </c>
      <c r="AA33" s="38" t="s">
        <v>644</v>
      </c>
      <c r="AB33" s="50" t="s">
        <v>645</v>
      </c>
      <c r="AC33" s="54" t="str">
        <f t="shared" si="0"/>
        <v>埼玉県さいたま市</v>
      </c>
      <c r="AD33" s="61">
        <v>11.05</v>
      </c>
      <c r="AE33" s="50">
        <v>10.83</v>
      </c>
      <c r="AF33" s="68">
        <v>10.68</v>
      </c>
      <c r="AG33" s="595" t="s">
        <v>646</v>
      </c>
      <c r="AH33" s="596">
        <v>0.45</v>
      </c>
      <c r="AJ33" s="1"/>
      <c r="AK33" s="1"/>
      <c r="AL33" s="1"/>
      <c r="AM33" s="1"/>
      <c r="AN33" s="1"/>
      <c r="AO33" s="9" t="s">
        <v>648</v>
      </c>
      <c r="AP33" s="119" t="s">
        <v>363</v>
      </c>
      <c r="AQ33" s="216"/>
      <c r="AR33" s="9" t="s">
        <v>648</v>
      </c>
      <c r="AS33" s="218" t="s">
        <v>647</v>
      </c>
      <c r="AT33" s="116" t="s">
        <v>402</v>
      </c>
      <c r="AU33" s="224" t="s">
        <v>403</v>
      </c>
      <c r="AV33" s="229"/>
      <c r="AX33" s="9" t="s">
        <v>648</v>
      </c>
      <c r="AY33" s="111" t="s">
        <v>649</v>
      </c>
      <c r="AZ33" s="76" t="s">
        <v>496</v>
      </c>
      <c r="BA33" s="76" t="s">
        <v>528</v>
      </c>
      <c r="BB33" s="148" t="s">
        <v>393</v>
      </c>
      <c r="BC33" s="94"/>
      <c r="BD33" s="626"/>
    </row>
    <row r="34" spans="1:56" ht="14.25" customHeight="1" thickBot="1">
      <c r="A34" s="9" t="s">
        <v>648</v>
      </c>
      <c r="B34" s="132" t="s">
        <v>650</v>
      </c>
      <c r="C34" s="139">
        <v>7.5000000000000011E-2</v>
      </c>
      <c r="D34" s="140">
        <v>7.1000000000000008E-2</v>
      </c>
      <c r="E34" s="140">
        <v>5.3999999999999999E-2</v>
      </c>
      <c r="F34" s="140">
        <v>4.4000000000000004E-2</v>
      </c>
      <c r="G34" s="145">
        <v>0.09</v>
      </c>
      <c r="H34" s="145">
        <v>9.7000000000000003E-2</v>
      </c>
      <c r="I34" s="145">
        <v>8.5999999999999993E-2</v>
      </c>
      <c r="J34" s="145">
        <v>9.2999999999999999E-2</v>
      </c>
      <c r="K34" s="146">
        <v>6.9000000000000006E-2</v>
      </c>
      <c r="L34" s="146">
        <v>5.8999999999999997E-2</v>
      </c>
      <c r="M34" s="186"/>
      <c r="N34" s="148" t="s">
        <v>378</v>
      </c>
      <c r="O34" s="76" t="s">
        <v>395</v>
      </c>
      <c r="P34" s="24"/>
      <c r="Q34" s="24"/>
      <c r="R34" s="24"/>
      <c r="S34" s="24"/>
      <c r="T34" s="4" t="s">
        <v>651</v>
      </c>
      <c r="V34" s="6" t="s">
        <v>380</v>
      </c>
      <c r="W34" s="4" t="s">
        <v>652</v>
      </c>
      <c r="Y34" s="595" t="s">
        <v>643</v>
      </c>
      <c r="Z34" s="596">
        <v>0.15</v>
      </c>
      <c r="AA34" s="39" t="s">
        <v>653</v>
      </c>
      <c r="AB34" s="34" t="s">
        <v>654</v>
      </c>
      <c r="AC34" s="43" t="str">
        <f t="shared" si="0"/>
        <v>千葉県千葉市</v>
      </c>
      <c r="AD34" s="32">
        <v>11.05</v>
      </c>
      <c r="AE34" s="34">
        <v>10.83</v>
      </c>
      <c r="AF34" s="51">
        <v>10.68</v>
      </c>
      <c r="AG34" s="595" t="s">
        <v>655</v>
      </c>
      <c r="AH34" s="596">
        <v>0.45</v>
      </c>
      <c r="AJ34" s="1"/>
      <c r="AK34" s="1"/>
      <c r="AL34" s="1"/>
      <c r="AM34" s="1"/>
      <c r="AN34" s="1"/>
      <c r="AO34" s="9" t="s">
        <v>658</v>
      </c>
      <c r="AP34" s="119" t="s">
        <v>427</v>
      </c>
      <c r="AQ34" s="216"/>
      <c r="AR34" s="9" t="s">
        <v>658</v>
      </c>
      <c r="AS34" s="218" t="s">
        <v>656</v>
      </c>
      <c r="AT34" s="116" t="s">
        <v>402</v>
      </c>
      <c r="AU34" s="224" t="s">
        <v>403</v>
      </c>
      <c r="AV34" s="120" t="s">
        <v>657</v>
      </c>
      <c r="AX34" s="9" t="s">
        <v>658</v>
      </c>
      <c r="AY34" s="111" t="s">
        <v>659</v>
      </c>
      <c r="AZ34" s="76" t="s">
        <v>496</v>
      </c>
      <c r="BA34" s="76" t="s">
        <v>528</v>
      </c>
      <c r="BB34" s="148" t="s">
        <v>391</v>
      </c>
      <c r="BC34" s="94" t="s">
        <v>405</v>
      </c>
      <c r="BD34" s="626" t="s">
        <v>393</v>
      </c>
    </row>
    <row r="35" spans="1:56" ht="14.25" customHeight="1" thickBot="1">
      <c r="A35" s="9" t="s">
        <v>658</v>
      </c>
      <c r="B35" s="132" t="s">
        <v>660</v>
      </c>
      <c r="C35" s="139">
        <v>7.5000000000000011E-2</v>
      </c>
      <c r="D35" s="140">
        <v>7.1000000000000008E-2</v>
      </c>
      <c r="E35" s="140">
        <v>5.3999999999999999E-2</v>
      </c>
      <c r="F35" s="140">
        <v>4.4000000000000004E-2</v>
      </c>
      <c r="G35" s="146">
        <v>0.09</v>
      </c>
      <c r="H35" s="146">
        <v>9.7000000000000003E-2</v>
      </c>
      <c r="I35" s="146">
        <v>8.5999999999999993E-2</v>
      </c>
      <c r="J35" s="146">
        <v>9.2999999999999999E-2</v>
      </c>
      <c r="K35" s="145">
        <v>6.9000000000000006E-2</v>
      </c>
      <c r="L35" s="145">
        <v>5.8999999999999997E-2</v>
      </c>
      <c r="M35" s="185"/>
      <c r="N35" s="148" t="s">
        <v>378</v>
      </c>
      <c r="O35" s="76" t="s">
        <v>395</v>
      </c>
      <c r="P35" s="24"/>
      <c r="Q35" s="24"/>
      <c r="R35" s="24"/>
      <c r="S35" s="24"/>
      <c r="T35" s="4" t="s">
        <v>661</v>
      </c>
      <c r="V35" s="6" t="s">
        <v>380</v>
      </c>
      <c r="W35" s="4" t="s">
        <v>662</v>
      </c>
      <c r="Y35" s="595" t="s">
        <v>643</v>
      </c>
      <c r="Z35" s="596">
        <v>0.15</v>
      </c>
      <c r="AA35" s="39" t="s">
        <v>653</v>
      </c>
      <c r="AB35" s="34" t="s">
        <v>663</v>
      </c>
      <c r="AC35" s="43" t="str">
        <f t="shared" si="0"/>
        <v>千葉県浦安市</v>
      </c>
      <c r="AD35" s="32">
        <v>11.05</v>
      </c>
      <c r="AE35" s="34">
        <v>10.83</v>
      </c>
      <c r="AF35" s="51">
        <v>10.68</v>
      </c>
      <c r="AG35" s="595" t="s">
        <v>664</v>
      </c>
      <c r="AH35" s="596">
        <v>0.45</v>
      </c>
      <c r="AJ35" s="1"/>
      <c r="AK35" s="1"/>
      <c r="AL35" s="1"/>
      <c r="AM35" s="1"/>
      <c r="AN35" s="1"/>
      <c r="AO35" s="9" t="s">
        <v>665</v>
      </c>
      <c r="AP35" s="119" t="s">
        <v>601</v>
      </c>
      <c r="AQ35" s="216"/>
      <c r="AR35" s="9" t="s">
        <v>665</v>
      </c>
      <c r="AS35" s="218" t="s">
        <v>2474</v>
      </c>
      <c r="AT35" s="116" t="s">
        <v>402</v>
      </c>
      <c r="AU35" s="224" t="s">
        <v>403</v>
      </c>
      <c r="AV35" s="120" t="s">
        <v>657</v>
      </c>
      <c r="AX35" s="9" t="s">
        <v>665</v>
      </c>
      <c r="AY35" s="111" t="s">
        <v>666</v>
      </c>
      <c r="AZ35" s="76" t="s">
        <v>496</v>
      </c>
      <c r="BA35" s="76" t="s">
        <v>528</v>
      </c>
      <c r="BB35" s="148" t="s">
        <v>391</v>
      </c>
      <c r="BC35" s="94" t="s">
        <v>405</v>
      </c>
      <c r="BD35" s="626" t="s">
        <v>393</v>
      </c>
    </row>
    <row r="36" spans="1:56" ht="14.25" customHeight="1" thickBot="1">
      <c r="A36" s="9" t="s">
        <v>665</v>
      </c>
      <c r="B36" s="132" t="s">
        <v>667</v>
      </c>
      <c r="C36" s="139">
        <v>7.5000000000000011E-2</v>
      </c>
      <c r="D36" s="140">
        <v>7.1000000000000008E-2</v>
      </c>
      <c r="E36" s="140">
        <v>5.3999999999999999E-2</v>
      </c>
      <c r="F36" s="140">
        <v>4.4000000000000004E-2</v>
      </c>
      <c r="G36" s="146">
        <v>0.09</v>
      </c>
      <c r="H36" s="146">
        <v>9.7000000000000003E-2</v>
      </c>
      <c r="I36" s="146">
        <v>8.5999999999999993E-2</v>
      </c>
      <c r="J36" s="146">
        <v>9.2999999999999999E-2</v>
      </c>
      <c r="K36" s="145">
        <v>6.9000000000000006E-2</v>
      </c>
      <c r="L36" s="145">
        <v>5.8999999999999997E-2</v>
      </c>
      <c r="M36" s="185"/>
      <c r="N36" s="148" t="s">
        <v>378</v>
      </c>
      <c r="O36" s="76" t="s">
        <v>432</v>
      </c>
      <c r="P36" s="24"/>
      <c r="Q36" s="24"/>
      <c r="R36" s="24"/>
      <c r="S36" s="24"/>
      <c r="T36" s="4" t="s">
        <v>668</v>
      </c>
      <c r="V36" s="6" t="s">
        <v>380</v>
      </c>
      <c r="W36" s="4" t="s">
        <v>669</v>
      </c>
      <c r="Y36" s="595" t="s">
        <v>643</v>
      </c>
      <c r="Z36" s="596">
        <v>0.15</v>
      </c>
      <c r="AA36" s="39" t="s">
        <v>383</v>
      </c>
      <c r="AB36" s="34" t="s">
        <v>670</v>
      </c>
      <c r="AC36" s="43" t="str">
        <f t="shared" si="0"/>
        <v>東京都八王子市</v>
      </c>
      <c r="AD36" s="32">
        <v>11.05</v>
      </c>
      <c r="AE36" s="34">
        <v>10.83</v>
      </c>
      <c r="AF36" s="51">
        <v>10.68</v>
      </c>
      <c r="AG36" s="9" t="s">
        <v>671</v>
      </c>
      <c r="AH36" s="596">
        <v>0.45</v>
      </c>
      <c r="AJ36" s="1"/>
      <c r="AK36" s="1"/>
      <c r="AL36" s="1"/>
      <c r="AM36" s="1"/>
      <c r="AN36" s="1"/>
      <c r="AO36" s="9" t="s">
        <v>671</v>
      </c>
      <c r="AP36" s="119" t="s">
        <v>427</v>
      </c>
      <c r="AQ36" s="216"/>
      <c r="AR36" s="9" t="s">
        <v>671</v>
      </c>
      <c r="AS36" s="218" t="s">
        <v>2478</v>
      </c>
      <c r="AT36" s="116" t="s">
        <v>402</v>
      </c>
      <c r="AU36" s="224" t="s">
        <v>403</v>
      </c>
      <c r="AV36" s="120"/>
      <c r="AX36" s="9" t="s">
        <v>671</v>
      </c>
      <c r="AY36" s="111" t="s">
        <v>2477</v>
      </c>
      <c r="AZ36" s="76" t="s">
        <v>496</v>
      </c>
      <c r="BA36" s="76" t="s">
        <v>528</v>
      </c>
      <c r="BB36" s="148" t="s">
        <v>391</v>
      </c>
      <c r="BC36" s="94" t="s">
        <v>405</v>
      </c>
      <c r="BD36" s="626" t="s">
        <v>393</v>
      </c>
    </row>
    <row r="37" spans="1:56" ht="14.25" customHeight="1" thickBot="1">
      <c r="A37" s="9" t="s">
        <v>671</v>
      </c>
      <c r="B37" s="132" t="s">
        <v>672</v>
      </c>
      <c r="C37" s="139">
        <v>5.099999999999999E-2</v>
      </c>
      <c r="D37" s="140">
        <v>4.6999999999999993E-2</v>
      </c>
      <c r="E37" s="140">
        <v>3.5999999999999997E-2</v>
      </c>
      <c r="F37" s="140">
        <v>2.9000000000000001E-2</v>
      </c>
      <c r="G37" s="145">
        <v>6.2E-2</v>
      </c>
      <c r="H37" s="145">
        <v>6.6000000000000003E-2</v>
      </c>
      <c r="I37" s="145">
        <v>5.8000000000000003E-2</v>
      </c>
      <c r="J37" s="145">
        <v>6.2E-2</v>
      </c>
      <c r="K37" s="146">
        <v>4.7E-2</v>
      </c>
      <c r="L37" s="146">
        <v>0.04</v>
      </c>
      <c r="M37" s="186"/>
      <c r="N37" s="148" t="s">
        <v>378</v>
      </c>
      <c r="O37" s="76" t="s">
        <v>395</v>
      </c>
      <c r="P37" s="24"/>
      <c r="Q37" s="24"/>
      <c r="R37" s="24"/>
      <c r="S37" s="24"/>
      <c r="T37" s="4" t="s">
        <v>673</v>
      </c>
      <c r="V37" s="6" t="s">
        <v>380</v>
      </c>
      <c r="W37" s="4" t="s">
        <v>674</v>
      </c>
      <c r="Y37" s="595" t="s">
        <v>643</v>
      </c>
      <c r="Z37" s="596">
        <v>0.15</v>
      </c>
      <c r="AA37" s="39" t="s">
        <v>383</v>
      </c>
      <c r="AB37" s="34" t="s">
        <v>675</v>
      </c>
      <c r="AC37" s="43" t="str">
        <f t="shared" si="0"/>
        <v>東京都武蔵野市</v>
      </c>
      <c r="AD37" s="32">
        <v>11.05</v>
      </c>
      <c r="AE37" s="34">
        <v>10.83</v>
      </c>
      <c r="AF37" s="51">
        <v>10.68</v>
      </c>
      <c r="AG37" s="9" t="s">
        <v>676</v>
      </c>
      <c r="AH37" s="596">
        <v>0.45</v>
      </c>
      <c r="AJ37" s="1"/>
      <c r="AK37" s="1"/>
      <c r="AL37" s="1"/>
      <c r="AM37" s="1"/>
      <c r="AN37" s="1"/>
      <c r="AO37" s="9" t="s">
        <v>676</v>
      </c>
      <c r="AP37" s="119" t="s">
        <v>601</v>
      </c>
      <c r="AQ37" s="216"/>
      <c r="AR37" s="9" t="s">
        <v>676</v>
      </c>
      <c r="AS37" s="218" t="s">
        <v>2479</v>
      </c>
      <c r="AT37" s="116" t="s">
        <v>402</v>
      </c>
      <c r="AU37" s="224" t="s">
        <v>403</v>
      </c>
      <c r="AV37" s="120"/>
      <c r="AX37" s="9" t="s">
        <v>676</v>
      </c>
      <c r="AY37" s="111" t="s">
        <v>2476</v>
      </c>
      <c r="AZ37" s="76" t="s">
        <v>496</v>
      </c>
      <c r="BA37" s="76" t="s">
        <v>528</v>
      </c>
      <c r="BB37" s="148" t="s">
        <v>391</v>
      </c>
      <c r="BC37" s="94" t="s">
        <v>405</v>
      </c>
      <c r="BD37" s="626" t="s">
        <v>393</v>
      </c>
    </row>
    <row r="38" spans="1:56" ht="14.25" customHeight="1" thickBot="1">
      <c r="A38" s="9" t="s">
        <v>676</v>
      </c>
      <c r="B38" s="132" t="s">
        <v>677</v>
      </c>
      <c r="C38" s="139">
        <v>5.099999999999999E-2</v>
      </c>
      <c r="D38" s="140">
        <v>4.6999999999999993E-2</v>
      </c>
      <c r="E38" s="140">
        <v>3.5999999999999997E-2</v>
      </c>
      <c r="F38" s="140">
        <v>2.9000000000000001E-2</v>
      </c>
      <c r="G38" s="145">
        <v>6.2E-2</v>
      </c>
      <c r="H38" s="145">
        <v>6.6000000000000003E-2</v>
      </c>
      <c r="I38" s="145">
        <v>5.8000000000000003E-2</v>
      </c>
      <c r="J38" s="145">
        <v>6.2E-2</v>
      </c>
      <c r="K38" s="146">
        <v>4.7E-2</v>
      </c>
      <c r="L38" s="146">
        <v>0.04</v>
      </c>
      <c r="M38" s="186"/>
      <c r="N38" s="148" t="s">
        <v>378</v>
      </c>
      <c r="O38" s="76" t="s">
        <v>432</v>
      </c>
      <c r="P38" s="24"/>
      <c r="Q38" s="24"/>
      <c r="R38" s="24"/>
      <c r="S38" s="24"/>
      <c r="T38" s="4" t="s">
        <v>678</v>
      </c>
      <c r="V38" s="6" t="s">
        <v>380</v>
      </c>
      <c r="W38" s="4" t="s">
        <v>679</v>
      </c>
      <c r="Y38" s="595" t="s">
        <v>643</v>
      </c>
      <c r="Z38" s="596">
        <v>0.15</v>
      </c>
      <c r="AA38" s="39" t="s">
        <v>383</v>
      </c>
      <c r="AB38" s="34" t="s">
        <v>680</v>
      </c>
      <c r="AC38" s="43" t="str">
        <f t="shared" si="0"/>
        <v>東京都三鷹市</v>
      </c>
      <c r="AD38" s="32">
        <v>11.05</v>
      </c>
      <c r="AE38" s="34">
        <v>10.83</v>
      </c>
      <c r="AF38" s="51">
        <v>10.68</v>
      </c>
      <c r="AG38" s="595" t="s">
        <v>681</v>
      </c>
      <c r="AH38" s="596">
        <v>0.45</v>
      </c>
      <c r="AJ38" s="1"/>
      <c r="AK38" s="1"/>
      <c r="AL38" s="1"/>
      <c r="AM38" s="1"/>
      <c r="AN38" s="1"/>
      <c r="AO38" s="79" t="s">
        <v>683</v>
      </c>
      <c r="AP38" s="119" t="s">
        <v>363</v>
      </c>
      <c r="AQ38" s="216"/>
      <c r="AR38" s="79" t="s">
        <v>683</v>
      </c>
      <c r="AS38" s="218" t="s">
        <v>682</v>
      </c>
      <c r="AT38" s="116" t="s">
        <v>402</v>
      </c>
      <c r="AU38" s="224" t="s">
        <v>403</v>
      </c>
      <c r="AV38" s="229"/>
      <c r="AX38" s="9" t="s">
        <v>683</v>
      </c>
      <c r="AY38" s="111" t="s">
        <v>684</v>
      </c>
      <c r="AZ38" s="92" t="s">
        <v>496</v>
      </c>
      <c r="BA38" s="92" t="s">
        <v>528</v>
      </c>
      <c r="BB38" s="149" t="s">
        <v>393</v>
      </c>
      <c r="BC38" s="623"/>
      <c r="BD38" s="627"/>
    </row>
    <row r="39" spans="1:56" ht="14.25" customHeight="1" thickBot="1">
      <c r="A39" s="79" t="s">
        <v>683</v>
      </c>
      <c r="B39" s="132" t="s">
        <v>685</v>
      </c>
      <c r="C39" s="139">
        <v>5.099999999999999E-2</v>
      </c>
      <c r="D39" s="140">
        <v>4.6999999999999993E-2</v>
      </c>
      <c r="E39" s="140">
        <v>3.5999999999999997E-2</v>
      </c>
      <c r="F39" s="140">
        <v>2.9000000000000001E-2</v>
      </c>
      <c r="G39" s="145">
        <v>6.2E-2</v>
      </c>
      <c r="H39" s="145">
        <v>6.6000000000000003E-2</v>
      </c>
      <c r="I39" s="145">
        <v>5.8000000000000003E-2</v>
      </c>
      <c r="J39" s="145">
        <v>6.2E-2</v>
      </c>
      <c r="K39" s="145">
        <v>4.7E-2</v>
      </c>
      <c r="L39" s="145">
        <v>0.04</v>
      </c>
      <c r="M39" s="185"/>
      <c r="N39" s="148" t="s">
        <v>378</v>
      </c>
      <c r="O39" s="76" t="s">
        <v>395</v>
      </c>
      <c r="P39" s="24"/>
      <c r="Q39" s="24"/>
      <c r="R39" s="24"/>
      <c r="S39" s="24"/>
      <c r="T39" s="4" t="s">
        <v>686</v>
      </c>
      <c r="V39" s="6" t="s">
        <v>380</v>
      </c>
      <c r="W39" s="4" t="s">
        <v>687</v>
      </c>
      <c r="Y39" s="595" t="s">
        <v>643</v>
      </c>
      <c r="Z39" s="596">
        <v>0.15</v>
      </c>
      <c r="AA39" s="39" t="s">
        <v>383</v>
      </c>
      <c r="AB39" s="34" t="s">
        <v>688</v>
      </c>
      <c r="AC39" s="43" t="str">
        <f t="shared" si="0"/>
        <v>東京都青梅市</v>
      </c>
      <c r="AD39" s="32">
        <v>11.05</v>
      </c>
      <c r="AE39" s="34">
        <v>10.83</v>
      </c>
      <c r="AF39" s="51">
        <v>10.68</v>
      </c>
      <c r="AG39" s="601" t="s">
        <v>689</v>
      </c>
      <c r="AH39" s="602">
        <v>0.45</v>
      </c>
      <c r="AJ39" s="1"/>
      <c r="AK39" s="1"/>
      <c r="AL39" s="1"/>
      <c r="AM39" s="1"/>
      <c r="AN39" s="1"/>
      <c r="AO39" s="62" t="s">
        <v>689</v>
      </c>
      <c r="AP39" s="119" t="s">
        <v>427</v>
      </c>
      <c r="AQ39" s="216"/>
      <c r="AR39" s="62" t="s">
        <v>689</v>
      </c>
      <c r="AS39" s="218" t="s">
        <v>690</v>
      </c>
      <c r="AT39" s="116" t="s">
        <v>402</v>
      </c>
      <c r="AU39" s="224" t="s">
        <v>403</v>
      </c>
      <c r="AV39" s="120" t="s">
        <v>628</v>
      </c>
      <c r="AX39" s="62" t="s">
        <v>689</v>
      </c>
      <c r="AY39" s="111" t="s">
        <v>2475</v>
      </c>
      <c r="AZ39" s="92" t="s">
        <v>496</v>
      </c>
      <c r="BA39" s="92" t="s">
        <v>528</v>
      </c>
      <c r="BB39" s="148" t="s">
        <v>391</v>
      </c>
      <c r="BC39" s="94" t="s">
        <v>405</v>
      </c>
      <c r="BD39" s="627" t="s">
        <v>393</v>
      </c>
    </row>
    <row r="40" spans="1:56" ht="14.25" customHeight="1" thickBot="1">
      <c r="A40" s="62" t="s">
        <v>689</v>
      </c>
      <c r="B40" s="131" t="s">
        <v>691</v>
      </c>
      <c r="C40" s="139">
        <v>5.099999999999999E-2</v>
      </c>
      <c r="D40" s="140">
        <v>4.6999999999999993E-2</v>
      </c>
      <c r="E40" s="140">
        <v>3.5999999999999997E-2</v>
      </c>
      <c r="F40" s="140">
        <v>2.9000000000000001E-2</v>
      </c>
      <c r="G40" s="145">
        <v>6.2E-2</v>
      </c>
      <c r="H40" s="145">
        <v>6.6000000000000003E-2</v>
      </c>
      <c r="I40" s="145">
        <v>5.8000000000000003E-2</v>
      </c>
      <c r="J40" s="145">
        <v>6.2E-2</v>
      </c>
      <c r="K40" s="145">
        <v>4.7E-2</v>
      </c>
      <c r="L40" s="145">
        <v>0.04</v>
      </c>
      <c r="M40" s="185"/>
      <c r="N40" s="148" t="s">
        <v>378</v>
      </c>
      <c r="O40" s="76" t="s">
        <v>395</v>
      </c>
      <c r="P40" s="24"/>
      <c r="Q40" s="24"/>
      <c r="R40" s="24"/>
      <c r="S40" s="24"/>
      <c r="T40" s="4" t="s">
        <v>692</v>
      </c>
      <c r="V40" s="6" t="s">
        <v>380</v>
      </c>
      <c r="W40" s="4" t="s">
        <v>693</v>
      </c>
      <c r="Y40" s="595" t="s">
        <v>643</v>
      </c>
      <c r="Z40" s="596">
        <v>0.15</v>
      </c>
      <c r="AA40" s="39" t="s">
        <v>383</v>
      </c>
      <c r="AB40" s="34" t="s">
        <v>694</v>
      </c>
      <c r="AC40" s="43" t="str">
        <f t="shared" si="0"/>
        <v>東京都府中市</v>
      </c>
      <c r="AD40" s="32">
        <v>11.05</v>
      </c>
      <c r="AE40" s="34">
        <v>10.83</v>
      </c>
      <c r="AF40" s="43">
        <v>10.68</v>
      </c>
      <c r="AG40" s="601" t="s">
        <v>695</v>
      </c>
      <c r="AH40" s="602">
        <v>0.45</v>
      </c>
      <c r="AJ40" s="1"/>
      <c r="AK40" s="1"/>
      <c r="AL40" s="1"/>
      <c r="AM40" s="1"/>
      <c r="AN40" s="1"/>
      <c r="AO40" s="193" t="s">
        <v>695</v>
      </c>
      <c r="AP40" s="582" t="s">
        <v>427</v>
      </c>
      <c r="AQ40" s="216"/>
      <c r="AR40" s="193" t="s">
        <v>695</v>
      </c>
      <c r="AS40" s="218" t="s">
        <v>696</v>
      </c>
      <c r="AT40" s="116" t="s">
        <v>402</v>
      </c>
      <c r="AU40" s="224" t="s">
        <v>403</v>
      </c>
      <c r="AV40" s="120" t="s">
        <v>628</v>
      </c>
      <c r="AX40" s="22" t="s">
        <v>695</v>
      </c>
      <c r="AY40" s="616" t="s">
        <v>697</v>
      </c>
      <c r="AZ40" s="77" t="s">
        <v>496</v>
      </c>
      <c r="BA40" s="77" t="s">
        <v>528</v>
      </c>
      <c r="BB40" s="179" t="s">
        <v>391</v>
      </c>
      <c r="BC40" s="624" t="s">
        <v>405</v>
      </c>
      <c r="BD40" s="628" t="s">
        <v>393</v>
      </c>
    </row>
    <row r="41" spans="1:56" ht="14.25" customHeight="1" thickBot="1">
      <c r="A41" s="193" t="s">
        <v>695</v>
      </c>
      <c r="B41" s="194" t="s">
        <v>698</v>
      </c>
      <c r="C41" s="195">
        <v>5.099999999999999E-2</v>
      </c>
      <c r="D41" s="196">
        <v>4.6999999999999993E-2</v>
      </c>
      <c r="E41" s="196">
        <v>3.5999999999999997E-2</v>
      </c>
      <c r="F41" s="196">
        <v>2.9000000000000001E-2</v>
      </c>
      <c r="G41" s="197">
        <v>6.2E-2</v>
      </c>
      <c r="H41" s="197">
        <v>6.6000000000000003E-2</v>
      </c>
      <c r="I41" s="197">
        <v>5.8000000000000003E-2</v>
      </c>
      <c r="J41" s="197">
        <v>6.2E-2</v>
      </c>
      <c r="K41" s="197">
        <v>4.7E-2</v>
      </c>
      <c r="L41" s="197">
        <v>0.04</v>
      </c>
      <c r="M41" s="187"/>
      <c r="N41" s="130" t="s">
        <v>378</v>
      </c>
      <c r="O41" s="92" t="s">
        <v>432</v>
      </c>
      <c r="P41" s="24"/>
      <c r="Q41" s="24"/>
      <c r="R41" s="24"/>
      <c r="S41" s="24"/>
      <c r="T41" s="4" t="s">
        <v>699</v>
      </c>
      <c r="V41" s="6" t="s">
        <v>380</v>
      </c>
      <c r="W41" s="4" t="s">
        <v>700</v>
      </c>
      <c r="Y41" s="595" t="s">
        <v>643</v>
      </c>
      <c r="Z41" s="596">
        <v>0.15</v>
      </c>
      <c r="AA41" s="39" t="s">
        <v>383</v>
      </c>
      <c r="AB41" s="34" t="s">
        <v>701</v>
      </c>
      <c r="AC41" s="43" t="str">
        <f t="shared" si="0"/>
        <v>東京都小金井市</v>
      </c>
      <c r="AD41" s="32">
        <v>11.05</v>
      </c>
      <c r="AE41" s="34">
        <v>10.83</v>
      </c>
      <c r="AF41" s="43">
        <v>10.68</v>
      </c>
      <c r="AG41" s="89" t="s">
        <v>702</v>
      </c>
      <c r="AH41" s="81">
        <v>0.7</v>
      </c>
      <c r="AJ41" s="1"/>
      <c r="AK41" s="1"/>
      <c r="AL41" s="1"/>
      <c r="AM41" s="1"/>
      <c r="AN41" s="1"/>
      <c r="AO41" s="198" t="s">
        <v>702</v>
      </c>
      <c r="AP41" s="114" t="s">
        <v>427</v>
      </c>
      <c r="AQ41" s="216"/>
      <c r="AR41" s="6" t="s">
        <v>702</v>
      </c>
      <c r="AS41" s="218" t="s">
        <v>703</v>
      </c>
      <c r="AT41" s="122" t="s">
        <v>704</v>
      </c>
      <c r="AU41" s="225" t="s">
        <v>705</v>
      </c>
      <c r="AV41" s="229"/>
      <c r="AX41" s="6" t="s">
        <v>702</v>
      </c>
      <c r="AY41" s="210" t="s">
        <v>706</v>
      </c>
      <c r="AZ41" s="64" t="s">
        <v>391</v>
      </c>
      <c r="BA41" s="65" t="s">
        <v>392</v>
      </c>
      <c r="BB41" s="71" t="s">
        <v>393</v>
      </c>
      <c r="BC41" s="214"/>
      <c r="BD41" s="603"/>
    </row>
    <row r="42" spans="1:56" ht="14.25" customHeight="1" thickBot="1">
      <c r="A42" s="198" t="s">
        <v>702</v>
      </c>
      <c r="B42" s="199" t="s">
        <v>707</v>
      </c>
      <c r="C42" s="180">
        <v>0.245</v>
      </c>
      <c r="D42" s="181">
        <v>0.224</v>
      </c>
      <c r="E42" s="181">
        <v>0.182</v>
      </c>
      <c r="F42" s="181">
        <v>0.14499999999999999</v>
      </c>
      <c r="G42" s="182">
        <v>0.27</v>
      </c>
      <c r="H42" s="182">
        <v>0.28699999999999998</v>
      </c>
      <c r="I42" s="182">
        <v>0.249</v>
      </c>
      <c r="J42" s="182">
        <v>0.26600000000000001</v>
      </c>
      <c r="K42" s="182">
        <v>0.20699999999999999</v>
      </c>
      <c r="L42" s="182">
        <v>0.17</v>
      </c>
      <c r="M42" s="183"/>
      <c r="N42" s="178" t="s">
        <v>378</v>
      </c>
      <c r="O42" s="78" t="s">
        <v>708</v>
      </c>
      <c r="P42" s="24"/>
      <c r="Q42" s="24"/>
      <c r="R42" s="24"/>
      <c r="S42" s="24"/>
      <c r="T42" s="4" t="s">
        <v>709</v>
      </c>
      <c r="V42" s="6" t="s">
        <v>380</v>
      </c>
      <c r="W42" s="4" t="s">
        <v>710</v>
      </c>
      <c r="Y42" s="595" t="s">
        <v>643</v>
      </c>
      <c r="Z42" s="596">
        <v>0.15</v>
      </c>
      <c r="AA42" s="39" t="s">
        <v>383</v>
      </c>
      <c r="AB42" s="34" t="s">
        <v>711</v>
      </c>
      <c r="AC42" s="43" t="str">
        <f t="shared" si="0"/>
        <v>東京都小平市</v>
      </c>
      <c r="AD42" s="32">
        <v>11.05</v>
      </c>
      <c r="AE42" s="34">
        <v>10.83</v>
      </c>
      <c r="AF42" s="43">
        <v>10.68</v>
      </c>
      <c r="AG42" s="121" t="s">
        <v>712</v>
      </c>
      <c r="AH42" s="82">
        <v>0.7</v>
      </c>
      <c r="AJ42" s="1"/>
      <c r="AK42" s="1"/>
      <c r="AL42" s="1"/>
      <c r="AM42" s="1"/>
      <c r="AN42" s="1"/>
      <c r="AO42" s="121" t="s">
        <v>712</v>
      </c>
      <c r="AP42" s="119" t="s">
        <v>427</v>
      </c>
      <c r="AQ42" s="216"/>
      <c r="AR42" s="4" t="s">
        <v>712</v>
      </c>
      <c r="AS42" s="218" t="s">
        <v>2471</v>
      </c>
      <c r="AT42" s="122" t="s">
        <v>704</v>
      </c>
      <c r="AU42" s="225" t="s">
        <v>705</v>
      </c>
      <c r="AV42" s="229"/>
      <c r="AX42" s="4" t="s">
        <v>712</v>
      </c>
      <c r="AY42" s="211" t="s">
        <v>2482</v>
      </c>
      <c r="AZ42" s="17" t="s">
        <v>391</v>
      </c>
      <c r="BA42" s="18" t="s">
        <v>392</v>
      </c>
      <c r="BB42" s="72" t="s">
        <v>393</v>
      </c>
      <c r="BC42" s="76"/>
      <c r="BD42" s="604"/>
    </row>
    <row r="43" spans="1:56" ht="14.25" customHeight="1" thickBot="1">
      <c r="A43" s="121" t="s">
        <v>712</v>
      </c>
      <c r="B43" s="132" t="s">
        <v>713</v>
      </c>
      <c r="C43" s="139">
        <v>0.245</v>
      </c>
      <c r="D43" s="140">
        <v>0.224</v>
      </c>
      <c r="E43" s="140">
        <v>0.182</v>
      </c>
      <c r="F43" s="140">
        <v>0.14499999999999999</v>
      </c>
      <c r="G43" s="144">
        <v>0.27</v>
      </c>
      <c r="H43" s="144">
        <v>0.28699999999999998</v>
      </c>
      <c r="I43" s="144">
        <v>0.249</v>
      </c>
      <c r="J43" s="144">
        <v>0.26600000000000001</v>
      </c>
      <c r="K43" s="144">
        <v>0.20699999999999999</v>
      </c>
      <c r="L43" s="144">
        <v>0.17</v>
      </c>
      <c r="M43" s="188"/>
      <c r="N43" s="147" t="s">
        <v>378</v>
      </c>
      <c r="O43" s="76" t="s">
        <v>708</v>
      </c>
      <c r="P43" s="24"/>
      <c r="Q43" s="24"/>
      <c r="R43" s="24"/>
      <c r="S43" s="24"/>
      <c r="T43" s="4" t="s">
        <v>714</v>
      </c>
      <c r="V43" s="6" t="s">
        <v>380</v>
      </c>
      <c r="W43" s="4" t="s">
        <v>715</v>
      </c>
      <c r="Y43" s="595" t="s">
        <v>643</v>
      </c>
      <c r="Z43" s="596">
        <v>0.15</v>
      </c>
      <c r="AA43" s="39" t="s">
        <v>383</v>
      </c>
      <c r="AB43" s="34" t="s">
        <v>716</v>
      </c>
      <c r="AC43" s="43" t="str">
        <f t="shared" si="0"/>
        <v>東京都日野市</v>
      </c>
      <c r="AD43" s="32">
        <v>11.05</v>
      </c>
      <c r="AE43" s="34">
        <v>10.83</v>
      </c>
      <c r="AF43" s="43">
        <v>10.68</v>
      </c>
      <c r="AG43" s="121" t="s">
        <v>717</v>
      </c>
      <c r="AH43" s="82">
        <v>0.7</v>
      </c>
      <c r="AJ43" s="1"/>
      <c r="AK43" s="1"/>
      <c r="AL43" s="1"/>
      <c r="AM43" s="1"/>
      <c r="AN43" s="1"/>
      <c r="AO43" s="121" t="s">
        <v>717</v>
      </c>
      <c r="AP43" s="119" t="s">
        <v>427</v>
      </c>
      <c r="AQ43" s="216"/>
      <c r="AR43" s="4" t="s">
        <v>717</v>
      </c>
      <c r="AS43" s="218" t="s">
        <v>2470</v>
      </c>
      <c r="AT43" s="122" t="s">
        <v>704</v>
      </c>
      <c r="AU43" s="225" t="s">
        <v>705</v>
      </c>
      <c r="AV43" s="229"/>
      <c r="AX43" s="4" t="s">
        <v>717</v>
      </c>
      <c r="AY43" s="211" t="s">
        <v>2487</v>
      </c>
      <c r="AZ43" s="17" t="s">
        <v>391</v>
      </c>
      <c r="BA43" s="18" t="s">
        <v>392</v>
      </c>
      <c r="BB43" s="72" t="s">
        <v>393</v>
      </c>
      <c r="BC43" s="76"/>
      <c r="BD43" s="604"/>
    </row>
    <row r="44" spans="1:56" ht="14.25" customHeight="1" thickBot="1">
      <c r="A44" s="121" t="s">
        <v>717</v>
      </c>
      <c r="B44" s="132" t="s">
        <v>718</v>
      </c>
      <c r="C44" s="139">
        <v>0.245</v>
      </c>
      <c r="D44" s="140">
        <v>0.224</v>
      </c>
      <c r="E44" s="140">
        <v>0.182</v>
      </c>
      <c r="F44" s="140">
        <v>0.14499999999999999</v>
      </c>
      <c r="G44" s="144">
        <v>0.27</v>
      </c>
      <c r="H44" s="144">
        <v>0.28699999999999998</v>
      </c>
      <c r="I44" s="144">
        <v>0.249</v>
      </c>
      <c r="J44" s="144">
        <v>0.26600000000000001</v>
      </c>
      <c r="K44" s="144">
        <v>0.20699999999999999</v>
      </c>
      <c r="L44" s="144">
        <v>0.17</v>
      </c>
      <c r="M44" s="188"/>
      <c r="N44" s="147" t="s">
        <v>378</v>
      </c>
      <c r="O44" s="76" t="s">
        <v>708</v>
      </c>
      <c r="P44" s="24"/>
      <c r="Q44" s="24"/>
      <c r="R44" s="24"/>
      <c r="S44" s="24"/>
      <c r="T44" s="4" t="s">
        <v>719</v>
      </c>
      <c r="V44" s="6" t="s">
        <v>380</v>
      </c>
      <c r="W44" s="4" t="s">
        <v>720</v>
      </c>
      <c r="Y44" s="595" t="s">
        <v>643</v>
      </c>
      <c r="Z44" s="596">
        <v>0.15</v>
      </c>
      <c r="AA44" s="39" t="s">
        <v>383</v>
      </c>
      <c r="AB44" s="34" t="s">
        <v>721</v>
      </c>
      <c r="AC44" s="43" t="str">
        <f t="shared" si="0"/>
        <v>東京都東村山市</v>
      </c>
      <c r="AD44" s="32">
        <v>11.05</v>
      </c>
      <c r="AE44" s="34">
        <v>10.83</v>
      </c>
      <c r="AF44" s="43">
        <v>10.68</v>
      </c>
      <c r="AG44" s="121" t="s">
        <v>722</v>
      </c>
      <c r="AH44" s="596">
        <v>0.45</v>
      </c>
      <c r="AJ44" s="1"/>
      <c r="AK44" s="1"/>
      <c r="AL44" s="1"/>
      <c r="AM44" s="1"/>
      <c r="AN44" s="1"/>
      <c r="AO44" s="121" t="s">
        <v>722</v>
      </c>
      <c r="AP44" s="119" t="s">
        <v>427</v>
      </c>
      <c r="AQ44" s="216"/>
      <c r="AR44" s="4" t="s">
        <v>722</v>
      </c>
      <c r="AS44" s="218" t="s">
        <v>2469</v>
      </c>
      <c r="AT44" s="123" t="s">
        <v>723</v>
      </c>
      <c r="AU44" s="225" t="s">
        <v>724</v>
      </c>
      <c r="AV44" s="124" t="s">
        <v>725</v>
      </c>
      <c r="AX44" s="4" t="s">
        <v>722</v>
      </c>
      <c r="AY44" s="211" t="s">
        <v>2486</v>
      </c>
      <c r="AZ44" s="64" t="s">
        <v>391</v>
      </c>
      <c r="BA44" s="65" t="s">
        <v>392</v>
      </c>
      <c r="BB44" s="71" t="s">
        <v>393</v>
      </c>
      <c r="BC44" s="214"/>
      <c r="BD44" s="603"/>
    </row>
    <row r="45" spans="1:56" ht="14.25" customHeight="1" thickBot="1">
      <c r="A45" s="121" t="s">
        <v>722</v>
      </c>
      <c r="B45" s="132" t="s">
        <v>726</v>
      </c>
      <c r="C45" s="139">
        <v>9.1999999999999985E-2</v>
      </c>
      <c r="D45" s="140">
        <v>8.9999999999999983E-2</v>
      </c>
      <c r="E45" s="140">
        <v>7.9999999999999988E-2</v>
      </c>
      <c r="F45" s="140">
        <v>6.3999999999999987E-2</v>
      </c>
      <c r="G45" s="144">
        <v>0.111</v>
      </c>
      <c r="H45" s="144">
        <v>0.12</v>
      </c>
      <c r="I45" s="144">
        <v>0.109</v>
      </c>
      <c r="J45" s="144">
        <v>0.11799999999999999</v>
      </c>
      <c r="K45" s="144">
        <v>9.9000000000000005E-2</v>
      </c>
      <c r="L45" s="144">
        <v>8.3000000000000004E-2</v>
      </c>
      <c r="M45" s="189"/>
      <c r="N45" s="149" t="s">
        <v>378</v>
      </c>
      <c r="O45" s="76" t="s">
        <v>708</v>
      </c>
      <c r="P45" s="24"/>
      <c r="Q45" s="24"/>
      <c r="R45" s="24"/>
      <c r="S45" s="24"/>
      <c r="T45" s="4" t="s">
        <v>727</v>
      </c>
      <c r="V45" s="6" t="s">
        <v>380</v>
      </c>
      <c r="W45" s="4" t="s">
        <v>728</v>
      </c>
      <c r="Y45" s="595" t="s">
        <v>643</v>
      </c>
      <c r="Z45" s="596">
        <v>0.15</v>
      </c>
      <c r="AA45" s="39" t="s">
        <v>383</v>
      </c>
      <c r="AB45" s="34" t="s">
        <v>729</v>
      </c>
      <c r="AC45" s="43" t="str">
        <f t="shared" si="0"/>
        <v>東京都国分寺市</v>
      </c>
      <c r="AD45" s="32">
        <v>11.05</v>
      </c>
      <c r="AE45" s="34">
        <v>10.83</v>
      </c>
      <c r="AF45" s="43">
        <v>10.68</v>
      </c>
      <c r="AG45" s="121" t="s">
        <v>730</v>
      </c>
      <c r="AH45" s="596">
        <v>0.45</v>
      </c>
      <c r="AJ45" s="1"/>
      <c r="AK45" s="1"/>
      <c r="AL45" s="1"/>
      <c r="AM45" s="1"/>
      <c r="AN45" s="1"/>
      <c r="AO45" s="121" t="s">
        <v>730</v>
      </c>
      <c r="AP45" s="119" t="s">
        <v>427</v>
      </c>
      <c r="AQ45" s="216"/>
      <c r="AR45" s="4" t="s">
        <v>730</v>
      </c>
      <c r="AS45" s="218" t="s">
        <v>2468</v>
      </c>
      <c r="AT45" s="123" t="s">
        <v>723</v>
      </c>
      <c r="AU45" s="225" t="s">
        <v>724</v>
      </c>
      <c r="AV45" s="124" t="s">
        <v>725</v>
      </c>
      <c r="AX45" s="4" t="s">
        <v>730</v>
      </c>
      <c r="AY45" s="211" t="s">
        <v>2485</v>
      </c>
      <c r="AZ45" s="17" t="s">
        <v>391</v>
      </c>
      <c r="BA45" s="18" t="s">
        <v>392</v>
      </c>
      <c r="BB45" s="72" t="s">
        <v>393</v>
      </c>
      <c r="BC45" s="76"/>
      <c r="BD45" s="604"/>
    </row>
    <row r="46" spans="1:56" ht="14.25" customHeight="1" thickBot="1">
      <c r="A46" s="121" t="s">
        <v>730</v>
      </c>
      <c r="B46" s="132" t="s">
        <v>731</v>
      </c>
      <c r="C46" s="139">
        <v>9.1999999999999985E-2</v>
      </c>
      <c r="D46" s="140">
        <v>8.9999999999999983E-2</v>
      </c>
      <c r="E46" s="140">
        <v>7.9999999999999988E-2</v>
      </c>
      <c r="F46" s="140">
        <v>6.3999999999999987E-2</v>
      </c>
      <c r="G46" s="144">
        <v>0.111</v>
      </c>
      <c r="H46" s="144">
        <v>0.12</v>
      </c>
      <c r="I46" s="144">
        <v>0.109</v>
      </c>
      <c r="J46" s="144">
        <v>0.11799999999999999</v>
      </c>
      <c r="K46" s="144">
        <v>9.9000000000000005E-2</v>
      </c>
      <c r="L46" s="144">
        <v>8.3000000000000004E-2</v>
      </c>
      <c r="M46" s="189"/>
      <c r="N46" s="149" t="s">
        <v>378</v>
      </c>
      <c r="O46" s="76" t="s">
        <v>708</v>
      </c>
      <c r="P46" s="24"/>
      <c r="Q46" s="24"/>
      <c r="R46" s="24"/>
      <c r="S46" s="24"/>
      <c r="T46" s="4" t="s">
        <v>732</v>
      </c>
      <c r="V46" s="6" t="s">
        <v>380</v>
      </c>
      <c r="W46" s="4" t="s">
        <v>733</v>
      </c>
      <c r="Y46" s="595" t="s">
        <v>643</v>
      </c>
      <c r="Z46" s="596">
        <v>0.15</v>
      </c>
      <c r="AA46" s="39" t="s">
        <v>383</v>
      </c>
      <c r="AB46" s="34" t="s">
        <v>734</v>
      </c>
      <c r="AC46" s="43" t="str">
        <f t="shared" si="0"/>
        <v>東京都国立市</v>
      </c>
      <c r="AD46" s="32">
        <v>11.05</v>
      </c>
      <c r="AE46" s="34">
        <v>10.83</v>
      </c>
      <c r="AF46" s="43">
        <v>10.68</v>
      </c>
      <c r="AG46" s="121" t="s">
        <v>735</v>
      </c>
      <c r="AH46" s="596">
        <v>0.45</v>
      </c>
      <c r="AJ46" s="1"/>
      <c r="AK46" s="1"/>
      <c r="AL46" s="1"/>
      <c r="AM46" s="1"/>
      <c r="AN46" s="1"/>
      <c r="AO46" s="121" t="s">
        <v>735</v>
      </c>
      <c r="AP46" s="605" t="s">
        <v>427</v>
      </c>
      <c r="AQ46" s="216"/>
      <c r="AR46" s="4" t="s">
        <v>735</v>
      </c>
      <c r="AS46" s="118" t="s">
        <v>2467</v>
      </c>
      <c r="AT46" s="123" t="s">
        <v>723</v>
      </c>
      <c r="AU46" s="225" t="s">
        <v>724</v>
      </c>
      <c r="AV46" s="124" t="s">
        <v>736</v>
      </c>
      <c r="AX46" s="4" t="s">
        <v>735</v>
      </c>
      <c r="AY46" s="211" t="s">
        <v>2484</v>
      </c>
      <c r="AZ46" s="17" t="s">
        <v>391</v>
      </c>
      <c r="BA46" s="18" t="s">
        <v>392</v>
      </c>
      <c r="BB46" s="72" t="s">
        <v>393</v>
      </c>
      <c r="BC46" s="76"/>
      <c r="BD46" s="604"/>
    </row>
    <row r="47" spans="1:56" ht="14.25" customHeight="1" thickBot="1">
      <c r="A47" s="121" t="s">
        <v>735</v>
      </c>
      <c r="B47" s="132" t="s">
        <v>737</v>
      </c>
      <c r="C47" s="139">
        <v>9.1999999999999985E-2</v>
      </c>
      <c r="D47" s="140">
        <v>8.9999999999999983E-2</v>
      </c>
      <c r="E47" s="140">
        <v>7.9999999999999988E-2</v>
      </c>
      <c r="F47" s="140">
        <v>6.3999999999999987E-2</v>
      </c>
      <c r="G47" s="144">
        <v>0.111</v>
      </c>
      <c r="H47" s="144">
        <v>0.12</v>
      </c>
      <c r="I47" s="144">
        <v>0.109</v>
      </c>
      <c r="J47" s="144">
        <v>0.11799999999999999</v>
      </c>
      <c r="K47" s="144">
        <v>9.9000000000000005E-2</v>
      </c>
      <c r="L47" s="144">
        <v>8.3000000000000004E-2</v>
      </c>
      <c r="M47" s="184"/>
      <c r="N47" s="148" t="s">
        <v>378</v>
      </c>
      <c r="O47" s="76" t="s">
        <v>708</v>
      </c>
      <c r="P47" s="24"/>
      <c r="Q47" s="24"/>
      <c r="R47" s="24"/>
      <c r="S47" s="24"/>
      <c r="T47" s="4" t="s">
        <v>738</v>
      </c>
      <c r="V47" s="6" t="s">
        <v>380</v>
      </c>
      <c r="W47" s="4" t="s">
        <v>739</v>
      </c>
      <c r="Y47" s="595" t="s">
        <v>643</v>
      </c>
      <c r="Z47" s="596">
        <v>0.15</v>
      </c>
      <c r="AA47" s="39" t="s">
        <v>383</v>
      </c>
      <c r="AB47" s="34" t="s">
        <v>740</v>
      </c>
      <c r="AC47" s="43" t="str">
        <f t="shared" si="0"/>
        <v>東京都清瀬市</v>
      </c>
      <c r="AD47" s="32">
        <v>11.05</v>
      </c>
      <c r="AE47" s="34">
        <v>10.83</v>
      </c>
      <c r="AF47" s="43">
        <v>10.68</v>
      </c>
      <c r="AG47" s="121" t="s">
        <v>742</v>
      </c>
      <c r="AH47" s="596">
        <v>0.45</v>
      </c>
      <c r="AJ47" s="1"/>
      <c r="AK47" s="1"/>
      <c r="AL47" s="1"/>
      <c r="AM47" s="1"/>
      <c r="AN47" s="1"/>
      <c r="AO47" s="121" t="s">
        <v>742</v>
      </c>
      <c r="AP47" s="119" t="s">
        <v>427</v>
      </c>
      <c r="AQ47" s="2"/>
      <c r="AR47" s="4" t="s">
        <v>742</v>
      </c>
      <c r="AS47" s="218" t="s">
        <v>2466</v>
      </c>
      <c r="AT47" s="220" t="s">
        <v>723</v>
      </c>
      <c r="AU47" s="226" t="s">
        <v>724</v>
      </c>
      <c r="AV47" s="221" t="s">
        <v>725</v>
      </c>
      <c r="AX47" s="4" t="s">
        <v>742</v>
      </c>
      <c r="AY47" s="211" t="s">
        <v>2483</v>
      </c>
      <c r="AZ47" s="17" t="s">
        <v>391</v>
      </c>
      <c r="BA47" s="18" t="s">
        <v>405</v>
      </c>
      <c r="BB47" s="72" t="s">
        <v>393</v>
      </c>
      <c r="BC47" s="76"/>
      <c r="BD47" s="604"/>
    </row>
    <row r="48" spans="1:56" ht="14.25" customHeight="1" thickBot="1">
      <c r="A48" s="121" t="s">
        <v>742</v>
      </c>
      <c r="B48" s="132" t="s">
        <v>726</v>
      </c>
      <c r="C48" s="139">
        <v>9.1999999999999985E-2</v>
      </c>
      <c r="D48" s="140">
        <v>8.9999999999999983E-2</v>
      </c>
      <c r="E48" s="140">
        <v>7.9999999999999988E-2</v>
      </c>
      <c r="F48" s="140">
        <v>6.3999999999999987E-2</v>
      </c>
      <c r="G48" s="144">
        <v>0.11700000000000001</v>
      </c>
      <c r="H48" s="144">
        <v>0.127</v>
      </c>
      <c r="I48" s="144">
        <v>0.115</v>
      </c>
      <c r="J48" s="144">
        <v>0.125</v>
      </c>
      <c r="K48" s="144">
        <v>0.105</v>
      </c>
      <c r="L48" s="144">
        <v>8.8999999999999996E-2</v>
      </c>
      <c r="M48" s="189"/>
      <c r="N48" s="149" t="s">
        <v>378</v>
      </c>
      <c r="O48" s="76" t="s">
        <v>708</v>
      </c>
      <c r="P48" s="24"/>
      <c r="Q48" s="24"/>
      <c r="R48" s="24"/>
      <c r="S48" s="24"/>
      <c r="T48" s="4" t="s">
        <v>743</v>
      </c>
      <c r="V48" s="6" t="s">
        <v>380</v>
      </c>
      <c r="W48" s="4" t="s">
        <v>744</v>
      </c>
      <c r="Y48" s="595" t="s">
        <v>643</v>
      </c>
      <c r="Z48" s="596">
        <v>0.15</v>
      </c>
      <c r="AA48" s="39" t="s">
        <v>383</v>
      </c>
      <c r="AB48" s="34" t="s">
        <v>745</v>
      </c>
      <c r="AC48" s="43" t="str">
        <f t="shared" si="0"/>
        <v>東京都東久留米市</v>
      </c>
      <c r="AD48" s="32">
        <v>11.05</v>
      </c>
      <c r="AE48" s="34">
        <v>10.83</v>
      </c>
      <c r="AF48" s="43">
        <v>10.68</v>
      </c>
      <c r="AG48" s="121" t="s">
        <v>747</v>
      </c>
      <c r="AH48" s="596">
        <v>0.45</v>
      </c>
      <c r="AJ48" s="1"/>
      <c r="AK48" s="1"/>
      <c r="AL48" s="1"/>
      <c r="AM48" s="1"/>
      <c r="AN48" s="1"/>
      <c r="AO48" s="121" t="s">
        <v>747</v>
      </c>
      <c r="AP48" s="119" t="s">
        <v>427</v>
      </c>
      <c r="AQ48" s="2"/>
      <c r="AR48" s="4" t="s">
        <v>747</v>
      </c>
      <c r="AS48" s="218" t="s">
        <v>2465</v>
      </c>
      <c r="AT48" s="123" t="s">
        <v>723</v>
      </c>
      <c r="AU48" s="225" t="s">
        <v>724</v>
      </c>
      <c r="AV48" s="124" t="s">
        <v>725</v>
      </c>
      <c r="AX48" s="4" t="s">
        <v>747</v>
      </c>
      <c r="AY48" s="211" t="s">
        <v>2481</v>
      </c>
      <c r="AZ48" s="17" t="s">
        <v>391</v>
      </c>
      <c r="BA48" s="18" t="s">
        <v>405</v>
      </c>
      <c r="BB48" s="72" t="s">
        <v>393</v>
      </c>
      <c r="BC48" s="76"/>
      <c r="BD48" s="604"/>
    </row>
    <row r="49" spans="1:56" ht="14.25" customHeight="1" thickBot="1">
      <c r="A49" s="121" t="s">
        <v>747</v>
      </c>
      <c r="B49" s="132" t="s">
        <v>731</v>
      </c>
      <c r="C49" s="139">
        <v>9.1999999999999985E-2</v>
      </c>
      <c r="D49" s="140">
        <v>8.9999999999999983E-2</v>
      </c>
      <c r="E49" s="140">
        <v>7.9999999999999988E-2</v>
      </c>
      <c r="F49" s="140">
        <v>6.3999999999999987E-2</v>
      </c>
      <c r="G49" s="144">
        <v>0.11700000000000001</v>
      </c>
      <c r="H49" s="144">
        <v>0.127</v>
      </c>
      <c r="I49" s="144">
        <v>0.115</v>
      </c>
      <c r="J49" s="144">
        <v>0.125</v>
      </c>
      <c r="K49" s="144">
        <v>0.105</v>
      </c>
      <c r="L49" s="144">
        <v>8.8999999999999996E-2</v>
      </c>
      <c r="M49" s="189"/>
      <c r="N49" s="149" t="s">
        <v>378</v>
      </c>
      <c r="O49" s="76" t="s">
        <v>708</v>
      </c>
      <c r="P49" s="24"/>
      <c r="Q49" s="24"/>
      <c r="R49" s="24"/>
      <c r="S49" s="24"/>
      <c r="T49" s="5" t="s">
        <v>748</v>
      </c>
      <c r="V49" s="6" t="s">
        <v>380</v>
      </c>
      <c r="W49" s="4" t="s">
        <v>749</v>
      </c>
      <c r="Y49" s="595" t="s">
        <v>643</v>
      </c>
      <c r="Z49" s="596">
        <v>0.15</v>
      </c>
      <c r="AA49" s="39" t="s">
        <v>383</v>
      </c>
      <c r="AB49" s="34" t="s">
        <v>750</v>
      </c>
      <c r="AC49" s="43" t="str">
        <f t="shared" si="0"/>
        <v>東京都稲城市</v>
      </c>
      <c r="AD49" s="32">
        <v>11.05</v>
      </c>
      <c r="AE49" s="34">
        <v>10.83</v>
      </c>
      <c r="AF49" s="43">
        <v>10.68</v>
      </c>
      <c r="AG49" s="121" t="s">
        <v>752</v>
      </c>
      <c r="AH49" s="596">
        <v>0.45</v>
      </c>
      <c r="AJ49" s="1"/>
      <c r="AK49" s="1"/>
      <c r="AL49" s="1"/>
      <c r="AM49" s="1"/>
      <c r="AN49" s="1"/>
      <c r="AO49" s="606" t="s">
        <v>752</v>
      </c>
      <c r="AP49" s="605" t="s">
        <v>427</v>
      </c>
      <c r="AQ49" s="2"/>
      <c r="AR49" s="5" t="s">
        <v>752</v>
      </c>
      <c r="AS49" s="219" t="s">
        <v>2464</v>
      </c>
      <c r="AT49" s="125" t="s">
        <v>723</v>
      </c>
      <c r="AU49" s="227" t="s">
        <v>724</v>
      </c>
      <c r="AV49" s="126" t="s">
        <v>736</v>
      </c>
      <c r="AX49" s="4" t="s">
        <v>752</v>
      </c>
      <c r="AY49" s="211" t="s">
        <v>2480</v>
      </c>
      <c r="AZ49" s="17" t="s">
        <v>391</v>
      </c>
      <c r="BA49" s="18" t="s">
        <v>405</v>
      </c>
      <c r="BB49" s="72" t="s">
        <v>393</v>
      </c>
      <c r="BC49" s="76"/>
      <c r="BD49" s="604"/>
    </row>
    <row r="50" spans="1:56" ht="14.25" customHeight="1" thickBot="1">
      <c r="A50" s="121" t="s">
        <v>752</v>
      </c>
      <c r="B50" s="132" t="s">
        <v>737</v>
      </c>
      <c r="C50" s="139">
        <v>9.1999999999999985E-2</v>
      </c>
      <c r="D50" s="140">
        <v>8.9999999999999983E-2</v>
      </c>
      <c r="E50" s="140">
        <v>7.9999999999999988E-2</v>
      </c>
      <c r="F50" s="140">
        <v>6.3999999999999987E-2</v>
      </c>
      <c r="G50" s="144">
        <v>0.11700000000000001</v>
      </c>
      <c r="H50" s="144">
        <v>0.127</v>
      </c>
      <c r="I50" s="144">
        <v>0.115</v>
      </c>
      <c r="J50" s="144">
        <v>0.125</v>
      </c>
      <c r="K50" s="144">
        <v>0.105</v>
      </c>
      <c r="L50" s="144">
        <v>8.8999999999999996E-2</v>
      </c>
      <c r="M50" s="184"/>
      <c r="N50" s="148" t="s">
        <v>378</v>
      </c>
      <c r="O50" s="76" t="s">
        <v>708</v>
      </c>
      <c r="P50" s="24"/>
      <c r="Q50" s="24"/>
      <c r="R50" s="24"/>
      <c r="S50" s="24"/>
      <c r="T50" s="2"/>
      <c r="V50" s="6" t="s">
        <v>380</v>
      </c>
      <c r="W50" s="4" t="s">
        <v>753</v>
      </c>
      <c r="Y50" s="595" t="s">
        <v>643</v>
      </c>
      <c r="Z50" s="596">
        <v>0.15</v>
      </c>
      <c r="AA50" s="39" t="s">
        <v>383</v>
      </c>
      <c r="AB50" s="34" t="s">
        <v>754</v>
      </c>
      <c r="AC50" s="43" t="str">
        <f t="shared" si="0"/>
        <v>東京都西東京市</v>
      </c>
      <c r="AD50" s="32">
        <v>11.05</v>
      </c>
      <c r="AE50" s="34">
        <v>10.83</v>
      </c>
      <c r="AF50" s="43">
        <v>10.68</v>
      </c>
      <c r="AG50" s="601" t="s">
        <v>741</v>
      </c>
      <c r="AH50" s="602">
        <v>0.7</v>
      </c>
      <c r="AJ50" s="1"/>
      <c r="AK50" s="1"/>
      <c r="AL50" s="1"/>
      <c r="AM50" s="1"/>
      <c r="AN50" s="1"/>
      <c r="AO50" s="2"/>
      <c r="AP50" s="2"/>
      <c r="AQ50" s="2"/>
      <c r="AR50" s="586"/>
      <c r="AS50" s="586"/>
      <c r="AT50" s="2"/>
      <c r="AU50" s="2"/>
      <c r="AV50" s="2"/>
      <c r="AX50" s="85" t="s">
        <v>741</v>
      </c>
      <c r="AY50" s="206" t="str">
        <f t="shared" ref="AY50:AY56" si="1">AX50&amp;"R8"</f>
        <v>介護予防ケアマネジメントR8</v>
      </c>
      <c r="AZ50" s="83" t="s">
        <v>391</v>
      </c>
      <c r="BA50" s="84" t="s">
        <v>392</v>
      </c>
      <c r="BB50" s="84" t="s">
        <v>770</v>
      </c>
      <c r="BC50" s="5" t="s">
        <v>170</v>
      </c>
      <c r="BD50" s="212"/>
    </row>
    <row r="51" spans="1:56" ht="14.25" customHeight="1" thickBot="1">
      <c r="A51" s="200" t="s">
        <v>741</v>
      </c>
      <c r="B51" s="201" t="s">
        <v>756</v>
      </c>
      <c r="C51" s="202">
        <v>0</v>
      </c>
      <c r="D51" s="83">
        <v>0</v>
      </c>
      <c r="E51" s="83">
        <v>0</v>
      </c>
      <c r="F51" s="83">
        <v>0</v>
      </c>
      <c r="G51" s="20"/>
      <c r="H51" s="20"/>
      <c r="I51" s="20"/>
      <c r="J51" s="20"/>
      <c r="K51" s="20"/>
      <c r="L51" s="20"/>
      <c r="M51" s="191">
        <v>2.1000000000000001E-2</v>
      </c>
      <c r="N51" s="177" t="s">
        <v>757</v>
      </c>
      <c r="O51" s="77" t="s">
        <v>708</v>
      </c>
      <c r="P51" s="24"/>
      <c r="Q51" s="24"/>
      <c r="R51" s="24"/>
      <c r="S51" s="24"/>
      <c r="T51" s="2"/>
      <c r="V51" s="6" t="s">
        <v>380</v>
      </c>
      <c r="W51" s="4" t="s">
        <v>758</v>
      </c>
      <c r="Y51" s="595" t="s">
        <v>643</v>
      </c>
      <c r="Z51" s="596">
        <v>0.15</v>
      </c>
      <c r="AA51" s="39" t="s">
        <v>617</v>
      </c>
      <c r="AB51" s="34" t="s">
        <v>759</v>
      </c>
      <c r="AC51" s="43" t="str">
        <f t="shared" si="0"/>
        <v>神奈川県鎌倉市</v>
      </c>
      <c r="AD51" s="32">
        <v>11.05</v>
      </c>
      <c r="AE51" s="34">
        <v>10.83</v>
      </c>
      <c r="AF51" s="43">
        <v>10.68</v>
      </c>
      <c r="AG51" s="89" t="s">
        <v>746</v>
      </c>
      <c r="AH51" s="594">
        <v>0.7</v>
      </c>
      <c r="AJ51" s="1"/>
      <c r="AK51" s="1"/>
      <c r="AL51" s="1"/>
      <c r="AM51" s="1"/>
      <c r="AN51" s="1"/>
      <c r="AO51" s="2"/>
      <c r="AP51" s="2"/>
      <c r="AQ51" s="2"/>
      <c r="AR51" s="1016" t="s">
        <v>761</v>
      </c>
      <c r="AS51" s="1016"/>
      <c r="AT51" s="1016"/>
      <c r="AU51" s="1016"/>
      <c r="AV51" s="2"/>
      <c r="AX51" s="6" t="s">
        <v>746</v>
      </c>
      <c r="AY51" s="207" t="str">
        <f t="shared" si="1"/>
        <v>訪問看護R8</v>
      </c>
      <c r="AZ51" s="75" t="s">
        <v>391</v>
      </c>
      <c r="BA51" s="70" t="s">
        <v>392</v>
      </c>
      <c r="BB51" s="70" t="s">
        <v>770</v>
      </c>
      <c r="BC51" s="173" t="s">
        <v>170</v>
      </c>
      <c r="BD51" s="215"/>
    </row>
    <row r="52" spans="1:56" ht="14.25" customHeight="1" thickBot="1">
      <c r="A52" s="198" t="s">
        <v>746</v>
      </c>
      <c r="B52" s="63">
        <v>13</v>
      </c>
      <c r="C52" s="64">
        <v>0</v>
      </c>
      <c r="D52" s="65">
        <v>0</v>
      </c>
      <c r="E52" s="65">
        <v>0</v>
      </c>
      <c r="F52" s="65">
        <v>0</v>
      </c>
      <c r="G52" s="65"/>
      <c r="H52" s="65"/>
      <c r="I52" s="65"/>
      <c r="J52" s="65"/>
      <c r="K52" s="65"/>
      <c r="L52" s="65"/>
      <c r="M52" s="192">
        <v>1.7999999999999999E-2</v>
      </c>
      <c r="N52" s="178" t="s">
        <v>379</v>
      </c>
      <c r="O52" s="78" t="s">
        <v>395</v>
      </c>
      <c r="P52" s="24"/>
      <c r="Q52" s="24"/>
      <c r="R52" s="24"/>
      <c r="S52" s="24"/>
      <c r="T52" s="2"/>
      <c r="V52" s="6" t="s">
        <v>380</v>
      </c>
      <c r="W52" s="4" t="s">
        <v>762</v>
      </c>
      <c r="Y52" s="595" t="s">
        <v>643</v>
      </c>
      <c r="Z52" s="596">
        <v>0.15</v>
      </c>
      <c r="AA52" s="39" t="s">
        <v>617</v>
      </c>
      <c r="AB52" s="34" t="s">
        <v>763</v>
      </c>
      <c r="AC52" s="43" t="str">
        <f t="shared" si="0"/>
        <v>神奈川県厚木市</v>
      </c>
      <c r="AD52" s="32">
        <v>11.05</v>
      </c>
      <c r="AE52" s="34">
        <v>10.83</v>
      </c>
      <c r="AF52" s="43">
        <v>10.68</v>
      </c>
      <c r="AG52" s="607" t="s">
        <v>751</v>
      </c>
      <c r="AH52" s="596">
        <v>0.7</v>
      </c>
      <c r="AJ52" s="1"/>
      <c r="AK52" s="1"/>
      <c r="AL52" s="1"/>
      <c r="AM52" s="1"/>
      <c r="AN52" s="1"/>
      <c r="AO52" s="2"/>
      <c r="AP52" s="2"/>
      <c r="AQ52" s="2"/>
      <c r="AR52" s="1017" t="s">
        <v>765</v>
      </c>
      <c r="AS52" s="1017"/>
      <c r="AT52" s="1017"/>
      <c r="AU52" s="1017"/>
      <c r="AV52" s="2"/>
      <c r="AX52" s="4" t="s">
        <v>751</v>
      </c>
      <c r="AY52" s="208" t="str">
        <f t="shared" si="1"/>
        <v>介護予防訪問看護R8</v>
      </c>
      <c r="AZ52" s="18" t="s">
        <v>391</v>
      </c>
      <c r="BA52" s="72" t="s">
        <v>392</v>
      </c>
      <c r="BB52" s="70" t="s">
        <v>770</v>
      </c>
      <c r="BC52" s="4" t="s">
        <v>170</v>
      </c>
      <c r="BD52" s="213"/>
    </row>
    <row r="53" spans="1:56" ht="14.25" customHeight="1" thickBot="1">
      <c r="A53" s="121" t="s">
        <v>751</v>
      </c>
      <c r="B53" s="9">
        <v>63</v>
      </c>
      <c r="C53" s="17">
        <v>0</v>
      </c>
      <c r="D53" s="18">
        <v>0</v>
      </c>
      <c r="E53" s="18">
        <v>0</v>
      </c>
      <c r="F53" s="18">
        <v>0</v>
      </c>
      <c r="G53" s="18"/>
      <c r="H53" s="18"/>
      <c r="I53" s="18"/>
      <c r="J53" s="18"/>
      <c r="K53" s="18"/>
      <c r="L53" s="18"/>
      <c r="M53" s="190">
        <v>1.7999999999999999E-2</v>
      </c>
      <c r="N53" s="148" t="s">
        <v>379</v>
      </c>
      <c r="O53" s="76" t="s">
        <v>432</v>
      </c>
      <c r="P53" s="24"/>
      <c r="Q53" s="24"/>
      <c r="R53" s="24"/>
      <c r="S53" s="24"/>
      <c r="T53" s="2"/>
      <c r="V53" s="6" t="s">
        <v>380</v>
      </c>
      <c r="W53" s="4" t="s">
        <v>766</v>
      </c>
      <c r="Y53" s="595" t="s">
        <v>643</v>
      </c>
      <c r="Z53" s="596">
        <v>0.15</v>
      </c>
      <c r="AA53" s="39" t="s">
        <v>767</v>
      </c>
      <c r="AB53" s="34" t="s">
        <v>768</v>
      </c>
      <c r="AC53" s="43" t="str">
        <f t="shared" si="0"/>
        <v>愛知県名古屋市</v>
      </c>
      <c r="AD53" s="32">
        <v>11.05</v>
      </c>
      <c r="AE53" s="34">
        <v>10.83</v>
      </c>
      <c r="AF53" s="51">
        <v>10.68</v>
      </c>
      <c r="AG53" s="90" t="s">
        <v>755</v>
      </c>
      <c r="AH53" s="596">
        <v>0.55000000000000004</v>
      </c>
      <c r="AJ53" s="1"/>
      <c r="AK53" s="1"/>
      <c r="AL53" s="1"/>
      <c r="AM53" s="1"/>
      <c r="AN53" s="1"/>
      <c r="AO53" s="2"/>
      <c r="AP53" s="2"/>
      <c r="AR53" s="1017"/>
      <c r="AS53" s="1017"/>
      <c r="AT53" s="1017"/>
      <c r="AU53" s="1017"/>
      <c r="AV53" s="2"/>
      <c r="AX53" s="79" t="s">
        <v>755</v>
      </c>
      <c r="AY53" s="208" t="str">
        <f t="shared" si="1"/>
        <v>訪問リハビリテーションR8</v>
      </c>
      <c r="AZ53" s="18" t="s">
        <v>391</v>
      </c>
      <c r="BA53" s="72" t="s">
        <v>392</v>
      </c>
      <c r="BB53" s="70" t="s">
        <v>770</v>
      </c>
      <c r="BC53" s="4" t="s">
        <v>170</v>
      </c>
      <c r="BD53" s="213"/>
    </row>
    <row r="54" spans="1:56" ht="14.25" customHeight="1" thickBot="1">
      <c r="A54" s="9" t="s">
        <v>755</v>
      </c>
      <c r="B54" s="9">
        <v>14</v>
      </c>
      <c r="C54" s="17">
        <v>0</v>
      </c>
      <c r="D54" s="18">
        <v>0</v>
      </c>
      <c r="E54" s="18">
        <v>0</v>
      </c>
      <c r="F54" s="18">
        <v>0</v>
      </c>
      <c r="G54" s="18"/>
      <c r="H54" s="18"/>
      <c r="I54" s="18"/>
      <c r="J54" s="18"/>
      <c r="K54" s="18"/>
      <c r="L54" s="18"/>
      <c r="M54" s="190">
        <v>1.4999999999999999E-2</v>
      </c>
      <c r="N54" s="148" t="s">
        <v>757</v>
      </c>
      <c r="O54" s="76" t="s">
        <v>395</v>
      </c>
      <c r="P54" s="24"/>
      <c r="Q54" s="24"/>
      <c r="R54" s="24"/>
      <c r="S54" s="24"/>
      <c r="T54" s="2"/>
      <c r="V54" s="6" t="s">
        <v>380</v>
      </c>
      <c r="W54" s="4" t="s">
        <v>771</v>
      </c>
      <c r="Y54" s="595" t="s">
        <v>643</v>
      </c>
      <c r="Z54" s="596">
        <v>0.15</v>
      </c>
      <c r="AA54" s="39" t="s">
        <v>767</v>
      </c>
      <c r="AB54" s="34" t="s">
        <v>772</v>
      </c>
      <c r="AC54" s="43" t="str">
        <f t="shared" si="0"/>
        <v>愛知県刈谷市</v>
      </c>
      <c r="AD54" s="32">
        <v>11.05</v>
      </c>
      <c r="AE54" s="34">
        <v>10.83</v>
      </c>
      <c r="AF54" s="51">
        <v>10.68</v>
      </c>
      <c r="AG54" s="90" t="s">
        <v>760</v>
      </c>
      <c r="AH54" s="596">
        <v>0.55000000000000004</v>
      </c>
      <c r="AJ54" s="1"/>
      <c r="AK54" s="1"/>
      <c r="AL54" s="1"/>
      <c r="AM54" s="1"/>
      <c r="AN54" s="1"/>
      <c r="AO54" s="2"/>
      <c r="AP54" s="2"/>
      <c r="AX54" s="79" t="s">
        <v>760</v>
      </c>
      <c r="AY54" s="208" t="str">
        <f t="shared" si="1"/>
        <v>介護予防訪問リハビリテーションR8</v>
      </c>
      <c r="AZ54" s="18" t="s">
        <v>391</v>
      </c>
      <c r="BA54" s="72" t="s">
        <v>392</v>
      </c>
      <c r="BB54" s="70" t="s">
        <v>770</v>
      </c>
      <c r="BC54" s="4" t="s">
        <v>170</v>
      </c>
      <c r="BD54" s="213"/>
    </row>
    <row r="55" spans="1:56" ht="14.25" customHeight="1" thickBot="1">
      <c r="A55" s="9" t="s">
        <v>760</v>
      </c>
      <c r="B55" s="9">
        <v>64</v>
      </c>
      <c r="C55" s="17">
        <v>0</v>
      </c>
      <c r="D55" s="18">
        <v>0</v>
      </c>
      <c r="E55" s="18">
        <v>0</v>
      </c>
      <c r="F55" s="18">
        <v>0</v>
      </c>
      <c r="G55" s="18"/>
      <c r="H55" s="18"/>
      <c r="I55" s="18"/>
      <c r="J55" s="18"/>
      <c r="K55" s="18"/>
      <c r="L55" s="18"/>
      <c r="M55" s="190">
        <v>1.4999999999999999E-2</v>
      </c>
      <c r="N55" s="148" t="s">
        <v>757</v>
      </c>
      <c r="O55" s="76" t="s">
        <v>432</v>
      </c>
      <c r="P55" s="24"/>
      <c r="Q55" s="24"/>
      <c r="R55" s="24"/>
      <c r="S55" s="24"/>
      <c r="T55" s="589"/>
      <c r="U55" s="589"/>
      <c r="V55" s="6" t="s">
        <v>380</v>
      </c>
      <c r="W55" s="4" t="s">
        <v>773</v>
      </c>
      <c r="X55" s="2"/>
      <c r="Y55" s="595" t="s">
        <v>643</v>
      </c>
      <c r="Z55" s="596">
        <v>0.15</v>
      </c>
      <c r="AA55" s="39" t="s">
        <v>767</v>
      </c>
      <c r="AB55" s="34" t="s">
        <v>774</v>
      </c>
      <c r="AC55" s="43" t="str">
        <f t="shared" si="0"/>
        <v>愛知県豊田市</v>
      </c>
      <c r="AD55" s="32">
        <v>11.05</v>
      </c>
      <c r="AE55" s="34">
        <v>10.83</v>
      </c>
      <c r="AF55" s="51">
        <v>10.68</v>
      </c>
      <c r="AG55" s="90" t="s">
        <v>764</v>
      </c>
      <c r="AH55" s="596">
        <v>0.7</v>
      </c>
      <c r="AJ55" s="1"/>
      <c r="AK55" s="1"/>
      <c r="AL55" s="1"/>
      <c r="AM55" s="1"/>
      <c r="AN55" s="1"/>
      <c r="AO55" s="2"/>
      <c r="AP55" s="2"/>
      <c r="AW55" s="589"/>
      <c r="AX55" s="79" t="s">
        <v>764</v>
      </c>
      <c r="AY55" s="208" t="str">
        <f t="shared" si="1"/>
        <v>居宅介護支援R8</v>
      </c>
      <c r="AZ55" s="18" t="s">
        <v>391</v>
      </c>
      <c r="BA55" s="72" t="s">
        <v>392</v>
      </c>
      <c r="BB55" s="70" t="s">
        <v>770</v>
      </c>
      <c r="BC55" s="4" t="s">
        <v>170</v>
      </c>
      <c r="BD55" s="213"/>
    </row>
    <row r="56" spans="1:56" ht="14.25" customHeight="1" thickBot="1">
      <c r="A56" s="9" t="s">
        <v>764</v>
      </c>
      <c r="B56" s="9">
        <v>43</v>
      </c>
      <c r="C56" s="17">
        <v>0</v>
      </c>
      <c r="D56" s="18">
        <v>0</v>
      </c>
      <c r="E56" s="18">
        <v>0</v>
      </c>
      <c r="F56" s="18">
        <v>0</v>
      </c>
      <c r="G56" s="18"/>
      <c r="H56" s="18"/>
      <c r="I56" s="18"/>
      <c r="J56" s="18"/>
      <c r="K56" s="18"/>
      <c r="L56" s="18"/>
      <c r="M56" s="190">
        <v>2.1000000000000001E-2</v>
      </c>
      <c r="N56" s="148" t="s">
        <v>757</v>
      </c>
      <c r="O56" s="76" t="s">
        <v>395</v>
      </c>
      <c r="P56" s="24"/>
      <c r="Q56" s="24"/>
      <c r="R56" s="24"/>
      <c r="S56" s="24"/>
      <c r="T56" s="589"/>
      <c r="U56" s="589"/>
      <c r="V56" s="6" t="s">
        <v>380</v>
      </c>
      <c r="W56" s="4" t="s">
        <v>775</v>
      </c>
      <c r="X56" s="2"/>
      <c r="Y56" s="595" t="s">
        <v>643</v>
      </c>
      <c r="Z56" s="596">
        <v>0.15</v>
      </c>
      <c r="AA56" s="39" t="s">
        <v>634</v>
      </c>
      <c r="AB56" s="34" t="s">
        <v>776</v>
      </c>
      <c r="AC56" s="43" t="str">
        <f t="shared" si="0"/>
        <v>大阪府守口市</v>
      </c>
      <c r="AD56" s="32">
        <v>11.05</v>
      </c>
      <c r="AE56" s="34">
        <v>10.83</v>
      </c>
      <c r="AF56" s="51">
        <v>10.68</v>
      </c>
      <c r="AG56" s="91" t="s">
        <v>769</v>
      </c>
      <c r="AH56" s="598">
        <v>0.7</v>
      </c>
      <c r="AJ56" s="1"/>
      <c r="AK56" s="1"/>
      <c r="AL56" s="1"/>
      <c r="AM56" s="1"/>
      <c r="AN56" s="1"/>
      <c r="AW56" s="589"/>
      <c r="AX56" s="80" t="s">
        <v>769</v>
      </c>
      <c r="AY56" s="209" t="str">
        <f t="shared" si="1"/>
        <v>介護予防支援R8</v>
      </c>
      <c r="AZ56" s="20" t="s">
        <v>391</v>
      </c>
      <c r="BA56" s="73" t="s">
        <v>392</v>
      </c>
      <c r="BB56" s="84" t="s">
        <v>770</v>
      </c>
      <c r="BC56" s="5" t="s">
        <v>170</v>
      </c>
      <c r="BD56" s="212"/>
    </row>
    <row r="57" spans="1:56" ht="14.25" customHeight="1" thickBot="1">
      <c r="A57" s="22" t="s">
        <v>769</v>
      </c>
      <c r="B57" s="133">
        <v>46</v>
      </c>
      <c r="C57" s="19">
        <v>0</v>
      </c>
      <c r="D57" s="20">
        <v>0</v>
      </c>
      <c r="E57" s="20">
        <v>0</v>
      </c>
      <c r="F57" s="20">
        <v>0</v>
      </c>
      <c r="G57" s="20"/>
      <c r="H57" s="20"/>
      <c r="I57" s="20"/>
      <c r="J57" s="20"/>
      <c r="K57" s="20"/>
      <c r="L57" s="20"/>
      <c r="M57" s="191">
        <v>2.1000000000000001E-2</v>
      </c>
      <c r="N57" s="179" t="s">
        <v>757</v>
      </c>
      <c r="O57" s="77" t="s">
        <v>432</v>
      </c>
      <c r="P57" s="24"/>
      <c r="Q57" s="24"/>
      <c r="R57" s="24"/>
      <c r="S57" s="24"/>
      <c r="T57" s="589"/>
      <c r="U57" s="589"/>
      <c r="V57" s="6" t="s">
        <v>380</v>
      </c>
      <c r="W57" s="4" t="s">
        <v>777</v>
      </c>
      <c r="X57" s="2"/>
      <c r="Y57" s="595" t="s">
        <v>643</v>
      </c>
      <c r="Z57" s="596">
        <v>0.15</v>
      </c>
      <c r="AA57" s="39" t="s">
        <v>634</v>
      </c>
      <c r="AB57" s="34" t="s">
        <v>778</v>
      </c>
      <c r="AC57" s="43" t="str">
        <f t="shared" si="0"/>
        <v>大阪府大東市</v>
      </c>
      <c r="AD57" s="32">
        <v>11.05</v>
      </c>
      <c r="AE57" s="34">
        <v>10.83</v>
      </c>
      <c r="AF57" s="51">
        <v>10.68</v>
      </c>
      <c r="AG57" s="588"/>
      <c r="AH57" s="588"/>
      <c r="AJ57" s="1"/>
      <c r="AK57" s="1"/>
      <c r="AL57" s="1"/>
      <c r="AM57" s="1"/>
      <c r="AN57" s="1"/>
    </row>
    <row r="58" spans="1:56" ht="15" thickBot="1">
      <c r="A58" s="589"/>
      <c r="B58" s="589"/>
      <c r="C58" s="589"/>
      <c r="D58" s="589"/>
      <c r="E58" s="589"/>
      <c r="F58" s="589"/>
      <c r="G58" s="589"/>
      <c r="H58" s="589"/>
      <c r="I58" s="589"/>
      <c r="J58" s="130"/>
      <c r="K58" s="589"/>
      <c r="L58" s="589"/>
      <c r="M58" s="589"/>
      <c r="N58" s="589"/>
      <c r="O58" s="589"/>
      <c r="P58" s="24"/>
      <c r="Q58" s="24"/>
      <c r="R58" s="24"/>
      <c r="S58" s="24"/>
      <c r="V58" s="6" t="s">
        <v>380</v>
      </c>
      <c r="W58" s="4" t="s">
        <v>779</v>
      </c>
      <c r="X58" s="2"/>
      <c r="Y58" s="595" t="s">
        <v>643</v>
      </c>
      <c r="Z58" s="596">
        <v>0.15</v>
      </c>
      <c r="AA58" s="39" t="s">
        <v>634</v>
      </c>
      <c r="AB58" s="34" t="s">
        <v>780</v>
      </c>
      <c r="AC58" s="43" t="str">
        <f t="shared" si="0"/>
        <v>大阪府門真市</v>
      </c>
      <c r="AD58" s="32">
        <v>11.05</v>
      </c>
      <c r="AE58" s="34">
        <v>10.83</v>
      </c>
      <c r="AF58" s="51">
        <v>10.68</v>
      </c>
      <c r="AG58" s="1"/>
      <c r="AJ58" s="1"/>
      <c r="AK58" s="1"/>
      <c r="AL58" s="1"/>
      <c r="AM58" s="1"/>
      <c r="AN58" s="1"/>
      <c r="AO58" s="589"/>
      <c r="AP58" s="589"/>
      <c r="AV58" s="589"/>
      <c r="AZ58" s="1"/>
    </row>
    <row r="59" spans="1:56" ht="15" thickBot="1">
      <c r="A59" s="589"/>
      <c r="C59" s="589"/>
      <c r="D59" s="589"/>
      <c r="E59" s="589"/>
      <c r="F59" s="589"/>
      <c r="G59" s="589"/>
      <c r="H59" s="589"/>
      <c r="I59" s="589"/>
      <c r="J59" s="589"/>
      <c r="K59" s="589"/>
      <c r="L59" s="589"/>
      <c r="M59" s="589"/>
      <c r="N59" s="589"/>
      <c r="O59" s="589"/>
      <c r="P59" s="24"/>
      <c r="Q59" s="24"/>
      <c r="R59" s="24"/>
      <c r="S59" s="24"/>
      <c r="V59" s="6" t="s">
        <v>380</v>
      </c>
      <c r="W59" s="4" t="s">
        <v>781</v>
      </c>
      <c r="X59" s="2"/>
      <c r="Y59" s="595" t="s">
        <v>643</v>
      </c>
      <c r="Z59" s="596">
        <v>0.15</v>
      </c>
      <c r="AA59" s="39" t="s">
        <v>782</v>
      </c>
      <c r="AB59" s="34" t="s">
        <v>783</v>
      </c>
      <c r="AC59" s="43" t="str">
        <f t="shared" si="0"/>
        <v>兵庫県西宮市</v>
      </c>
      <c r="AD59" s="32">
        <v>11.05</v>
      </c>
      <c r="AE59" s="34">
        <v>10.83</v>
      </c>
      <c r="AF59" s="51">
        <v>10.68</v>
      </c>
      <c r="AG59" s="1"/>
      <c r="AJ59" s="1"/>
      <c r="AK59" s="1"/>
      <c r="AL59" s="1"/>
      <c r="AM59" s="1"/>
      <c r="AN59" s="1"/>
      <c r="AO59" s="589"/>
      <c r="AP59" s="589"/>
      <c r="AV59" s="589"/>
      <c r="AZ59" s="1"/>
    </row>
    <row r="60" spans="1:56" ht="15" thickBot="1">
      <c r="A60" s="589"/>
      <c r="C60" s="589"/>
      <c r="D60" s="589"/>
      <c r="E60" s="589"/>
      <c r="F60" s="589"/>
      <c r="G60" s="589"/>
      <c r="H60" s="589"/>
      <c r="I60" s="589"/>
      <c r="J60" s="589"/>
      <c r="K60" s="589"/>
      <c r="L60" s="589"/>
      <c r="M60" s="589"/>
      <c r="N60" s="589"/>
      <c r="O60" s="589"/>
      <c r="P60" s="24"/>
      <c r="Q60" s="24"/>
      <c r="R60" s="24"/>
      <c r="S60" s="24"/>
      <c r="V60" s="6" t="s">
        <v>380</v>
      </c>
      <c r="W60" s="4" t="s">
        <v>784</v>
      </c>
      <c r="X60" s="2"/>
      <c r="Y60" s="595" t="s">
        <v>643</v>
      </c>
      <c r="Z60" s="596">
        <v>0.15</v>
      </c>
      <c r="AA60" s="39" t="s">
        <v>782</v>
      </c>
      <c r="AB60" s="34" t="s">
        <v>785</v>
      </c>
      <c r="AC60" s="43" t="str">
        <f t="shared" si="0"/>
        <v>兵庫県芦屋市</v>
      </c>
      <c r="AD60" s="32">
        <v>11.05</v>
      </c>
      <c r="AE60" s="34">
        <v>10.83</v>
      </c>
      <c r="AF60" s="51">
        <v>10.68</v>
      </c>
      <c r="AG60" s="1"/>
      <c r="AJ60" s="1"/>
      <c r="AK60" s="1"/>
      <c r="AL60" s="1"/>
      <c r="AM60" s="1"/>
      <c r="AN60" s="1"/>
      <c r="AZ60" s="1"/>
    </row>
    <row r="61" spans="1:56" ht="15" thickBot="1">
      <c r="E61" s="21"/>
      <c r="F61" s="21"/>
      <c r="G61" s="21"/>
      <c r="H61" s="21"/>
      <c r="I61" s="21"/>
      <c r="J61" s="589"/>
      <c r="K61" s="21"/>
      <c r="L61" s="21"/>
      <c r="M61" s="21"/>
      <c r="V61" s="6" t="s">
        <v>380</v>
      </c>
      <c r="W61" s="4" t="s">
        <v>786</v>
      </c>
      <c r="X61" s="2"/>
      <c r="Y61" s="597" t="s">
        <v>643</v>
      </c>
      <c r="Z61" s="598">
        <v>0.15</v>
      </c>
      <c r="AA61" s="40" t="s">
        <v>782</v>
      </c>
      <c r="AB61" s="37" t="s">
        <v>787</v>
      </c>
      <c r="AC61" s="57" t="str">
        <f t="shared" si="0"/>
        <v>兵庫県宝塚市</v>
      </c>
      <c r="AD61" s="36">
        <v>11.05</v>
      </c>
      <c r="AE61" s="37">
        <v>10.83</v>
      </c>
      <c r="AF61" s="69">
        <v>10.68</v>
      </c>
      <c r="AG61" s="1"/>
      <c r="AJ61" s="1"/>
      <c r="AK61" s="1"/>
      <c r="AL61" s="1"/>
      <c r="AM61" s="1"/>
      <c r="AN61" s="1"/>
      <c r="AZ61" s="1"/>
    </row>
    <row r="62" spans="1:56" ht="15" thickBot="1">
      <c r="E62" s="21"/>
      <c r="F62" s="21"/>
      <c r="G62" s="21"/>
      <c r="H62" s="21"/>
      <c r="I62" s="21"/>
      <c r="J62" s="21"/>
      <c r="K62" s="21"/>
      <c r="L62" s="21"/>
      <c r="M62" s="21"/>
      <c r="V62" s="6" t="s">
        <v>380</v>
      </c>
      <c r="W62" s="4" t="s">
        <v>788</v>
      </c>
      <c r="X62" s="2"/>
      <c r="Y62" s="593" t="s">
        <v>789</v>
      </c>
      <c r="Z62" s="594">
        <v>0.12</v>
      </c>
      <c r="AA62" s="150" t="s">
        <v>448</v>
      </c>
      <c r="AB62" s="50" t="s">
        <v>790</v>
      </c>
      <c r="AC62" s="68" t="str">
        <f t="shared" si="0"/>
        <v>茨城県牛久市</v>
      </c>
      <c r="AD62" s="61">
        <v>10.84</v>
      </c>
      <c r="AE62" s="50">
        <v>10.66</v>
      </c>
      <c r="AF62" s="68">
        <v>10.54</v>
      </c>
      <c r="AG62" s="1"/>
      <c r="AJ62" s="1"/>
      <c r="AK62" s="1"/>
      <c r="AL62" s="1"/>
      <c r="AM62" s="1"/>
      <c r="AN62" s="1"/>
    </row>
    <row r="63" spans="1:56" ht="15" thickBot="1">
      <c r="E63" s="21"/>
      <c r="F63" s="21"/>
      <c r="G63" s="21"/>
      <c r="H63" s="21"/>
      <c r="I63" s="21"/>
      <c r="J63" s="21"/>
      <c r="K63" s="21"/>
      <c r="L63" s="21"/>
      <c r="M63" s="21"/>
      <c r="V63" s="6" t="s">
        <v>380</v>
      </c>
      <c r="W63" s="4" t="s">
        <v>791</v>
      </c>
      <c r="X63" s="2"/>
      <c r="Y63" s="595" t="s">
        <v>789</v>
      </c>
      <c r="Z63" s="596">
        <v>0.12</v>
      </c>
      <c r="AA63" s="151" t="s">
        <v>474</v>
      </c>
      <c r="AB63" s="34" t="s">
        <v>792</v>
      </c>
      <c r="AC63" s="51" t="str">
        <f t="shared" si="0"/>
        <v>埼玉県朝霞市</v>
      </c>
      <c r="AD63" s="32">
        <v>10.84</v>
      </c>
      <c r="AE63" s="34">
        <v>10.66</v>
      </c>
      <c r="AF63" s="51">
        <v>10.54</v>
      </c>
      <c r="AG63" s="1"/>
      <c r="AJ63" s="1"/>
      <c r="AK63" s="1"/>
      <c r="AL63" s="1"/>
      <c r="AM63" s="1"/>
      <c r="AN63" s="1"/>
    </row>
    <row r="64" spans="1:56" ht="15" thickBot="1">
      <c r="E64" s="21"/>
      <c r="F64" s="21"/>
      <c r="G64" s="21"/>
      <c r="H64" s="21"/>
      <c r="I64" s="21"/>
      <c r="J64" s="21"/>
      <c r="K64" s="21"/>
      <c r="L64" s="21"/>
      <c r="M64" s="21"/>
      <c r="V64" s="6" t="s">
        <v>380</v>
      </c>
      <c r="W64" s="4" t="s">
        <v>793</v>
      </c>
      <c r="X64" s="2"/>
      <c r="Y64" s="595" t="s">
        <v>789</v>
      </c>
      <c r="Z64" s="596">
        <v>0.12</v>
      </c>
      <c r="AA64" s="151" t="s">
        <v>474</v>
      </c>
      <c r="AB64" s="34" t="s">
        <v>794</v>
      </c>
      <c r="AC64" s="51" t="str">
        <f t="shared" si="0"/>
        <v>埼玉県志木市</v>
      </c>
      <c r="AD64" s="32">
        <v>10.84</v>
      </c>
      <c r="AE64" s="34">
        <v>10.66</v>
      </c>
      <c r="AF64" s="51">
        <v>10.54</v>
      </c>
      <c r="AG64" s="1"/>
      <c r="AJ64" s="1"/>
      <c r="AK64" s="1"/>
      <c r="AL64" s="1"/>
      <c r="AM64" s="1"/>
      <c r="AN64" s="1"/>
    </row>
    <row r="65" spans="22:33" ht="14.25" thickBot="1">
      <c r="V65" s="6" t="s">
        <v>380</v>
      </c>
      <c r="W65" s="4" t="s">
        <v>795</v>
      </c>
      <c r="X65" s="2"/>
      <c r="Y65" s="595" t="s">
        <v>789</v>
      </c>
      <c r="Z65" s="596">
        <v>0.12</v>
      </c>
      <c r="AA65" s="151" t="s">
        <v>474</v>
      </c>
      <c r="AB65" s="34" t="s">
        <v>796</v>
      </c>
      <c r="AC65" s="51" t="str">
        <f t="shared" si="0"/>
        <v>埼玉県和光市</v>
      </c>
      <c r="AD65" s="32">
        <v>10.84</v>
      </c>
      <c r="AE65" s="34">
        <v>10.66</v>
      </c>
      <c r="AF65" s="51">
        <v>10.54</v>
      </c>
      <c r="AG65" s="1"/>
    </row>
    <row r="66" spans="22:33" ht="14.25" thickBot="1">
      <c r="V66" s="6" t="s">
        <v>380</v>
      </c>
      <c r="W66" s="4" t="s">
        <v>797</v>
      </c>
      <c r="X66" s="2"/>
      <c r="Y66" s="595" t="s">
        <v>789</v>
      </c>
      <c r="Z66" s="596">
        <v>0.12</v>
      </c>
      <c r="AA66" s="151" t="s">
        <v>483</v>
      </c>
      <c r="AB66" s="34" t="s">
        <v>798</v>
      </c>
      <c r="AC66" s="51" t="str">
        <f t="shared" si="0"/>
        <v>千葉県船橋市</v>
      </c>
      <c r="AD66" s="32">
        <v>10.84</v>
      </c>
      <c r="AE66" s="34">
        <v>10.66</v>
      </c>
      <c r="AF66" s="51">
        <v>10.54</v>
      </c>
      <c r="AG66" s="1"/>
    </row>
    <row r="67" spans="22:33" ht="14.25" thickBot="1">
      <c r="V67" s="6" t="s">
        <v>380</v>
      </c>
      <c r="W67" s="4" t="s">
        <v>799</v>
      </c>
      <c r="X67" s="2"/>
      <c r="Y67" s="595" t="s">
        <v>789</v>
      </c>
      <c r="Z67" s="596">
        <v>0.12</v>
      </c>
      <c r="AA67" s="151" t="s">
        <v>483</v>
      </c>
      <c r="AB67" s="34" t="s">
        <v>800</v>
      </c>
      <c r="AC67" s="51" t="str">
        <f t="shared" si="0"/>
        <v>千葉県成田市</v>
      </c>
      <c r="AD67" s="32">
        <v>10.84</v>
      </c>
      <c r="AE67" s="34">
        <v>10.66</v>
      </c>
      <c r="AF67" s="51">
        <v>10.54</v>
      </c>
      <c r="AG67" s="1"/>
    </row>
    <row r="68" spans="22:33" ht="14.25" thickBot="1">
      <c r="V68" s="6" t="s">
        <v>380</v>
      </c>
      <c r="W68" s="4" t="s">
        <v>801</v>
      </c>
      <c r="X68" s="2"/>
      <c r="Y68" s="595" t="s">
        <v>789</v>
      </c>
      <c r="Z68" s="596">
        <v>0.12</v>
      </c>
      <c r="AA68" s="151" t="s">
        <v>483</v>
      </c>
      <c r="AB68" s="34" t="s">
        <v>802</v>
      </c>
      <c r="AC68" s="51" t="str">
        <f t="shared" ref="AC68:AC131" si="2">AA68&amp;AB68</f>
        <v>千葉県習志野市</v>
      </c>
      <c r="AD68" s="32">
        <v>10.84</v>
      </c>
      <c r="AE68" s="34">
        <v>10.66</v>
      </c>
      <c r="AF68" s="51">
        <v>10.54</v>
      </c>
      <c r="AG68" s="1"/>
    </row>
    <row r="69" spans="22:33" ht="14.25" thickBot="1">
      <c r="V69" s="6" t="s">
        <v>380</v>
      </c>
      <c r="W69" s="4" t="s">
        <v>803</v>
      </c>
      <c r="X69" s="2"/>
      <c r="Y69" s="595" t="s">
        <v>789</v>
      </c>
      <c r="Z69" s="596">
        <v>0.12</v>
      </c>
      <c r="AA69" s="151" t="s">
        <v>490</v>
      </c>
      <c r="AB69" s="34" t="s">
        <v>804</v>
      </c>
      <c r="AC69" s="51" t="str">
        <f t="shared" si="2"/>
        <v>東京都立川市</v>
      </c>
      <c r="AD69" s="32">
        <v>10.84</v>
      </c>
      <c r="AE69" s="34">
        <v>10.66</v>
      </c>
      <c r="AF69" s="51">
        <v>10.54</v>
      </c>
      <c r="AG69" s="1"/>
    </row>
    <row r="70" spans="22:33" ht="14.25" thickBot="1">
      <c r="V70" s="6" t="s">
        <v>380</v>
      </c>
      <c r="W70" s="4" t="s">
        <v>805</v>
      </c>
      <c r="X70" s="2"/>
      <c r="Y70" s="595" t="s">
        <v>789</v>
      </c>
      <c r="Z70" s="596">
        <v>0.12</v>
      </c>
      <c r="AA70" s="151" t="s">
        <v>490</v>
      </c>
      <c r="AB70" s="34" t="s">
        <v>806</v>
      </c>
      <c r="AC70" s="51" t="str">
        <f t="shared" si="2"/>
        <v>東京都昭島市</v>
      </c>
      <c r="AD70" s="32">
        <v>10.84</v>
      </c>
      <c r="AE70" s="34">
        <v>10.66</v>
      </c>
      <c r="AF70" s="51">
        <v>10.54</v>
      </c>
      <c r="AG70" s="1"/>
    </row>
    <row r="71" spans="22:33" ht="14.25" thickBot="1">
      <c r="V71" s="6" t="s">
        <v>380</v>
      </c>
      <c r="W71" s="4" t="s">
        <v>807</v>
      </c>
      <c r="X71" s="2"/>
      <c r="Y71" s="595" t="s">
        <v>789</v>
      </c>
      <c r="Z71" s="596">
        <v>0.12</v>
      </c>
      <c r="AA71" s="151" t="s">
        <v>490</v>
      </c>
      <c r="AB71" s="34" t="s">
        <v>808</v>
      </c>
      <c r="AC71" s="51" t="str">
        <f t="shared" si="2"/>
        <v>東京都東大和市</v>
      </c>
      <c r="AD71" s="32">
        <v>10.84</v>
      </c>
      <c r="AE71" s="34">
        <v>10.66</v>
      </c>
      <c r="AF71" s="51">
        <v>10.54</v>
      </c>
      <c r="AG71" s="1"/>
    </row>
    <row r="72" spans="22:33" ht="14.25" thickBot="1">
      <c r="V72" s="6" t="s">
        <v>380</v>
      </c>
      <c r="W72" s="4" t="s">
        <v>809</v>
      </c>
      <c r="X72" s="2"/>
      <c r="Y72" s="595" t="s">
        <v>789</v>
      </c>
      <c r="Z72" s="596">
        <v>0.12</v>
      </c>
      <c r="AA72" s="151" t="s">
        <v>500</v>
      </c>
      <c r="AB72" s="34" t="s">
        <v>810</v>
      </c>
      <c r="AC72" s="51" t="str">
        <f t="shared" si="2"/>
        <v>神奈川県相模原市</v>
      </c>
      <c r="AD72" s="32">
        <v>10.84</v>
      </c>
      <c r="AE72" s="34">
        <v>10.66</v>
      </c>
      <c r="AF72" s="51">
        <v>10.54</v>
      </c>
      <c r="AG72" s="1"/>
    </row>
    <row r="73" spans="22:33" ht="14.25" thickBot="1">
      <c r="V73" s="6" t="s">
        <v>380</v>
      </c>
      <c r="W73" s="4" t="s">
        <v>811</v>
      </c>
      <c r="X73" s="2"/>
      <c r="Y73" s="595" t="s">
        <v>789</v>
      </c>
      <c r="Z73" s="596">
        <v>0.12</v>
      </c>
      <c r="AA73" s="151" t="s">
        <v>500</v>
      </c>
      <c r="AB73" s="34" t="s">
        <v>812</v>
      </c>
      <c r="AC73" s="51" t="str">
        <f t="shared" si="2"/>
        <v>神奈川県横須賀市</v>
      </c>
      <c r="AD73" s="32">
        <v>10.84</v>
      </c>
      <c r="AE73" s="34">
        <v>10.66</v>
      </c>
      <c r="AF73" s="51">
        <v>10.54</v>
      </c>
      <c r="AG73" s="1"/>
    </row>
    <row r="74" spans="22:33" ht="14.25" thickBot="1">
      <c r="V74" s="6" t="s">
        <v>380</v>
      </c>
      <c r="W74" s="4" t="s">
        <v>813</v>
      </c>
      <c r="X74" s="2"/>
      <c r="Y74" s="595" t="s">
        <v>789</v>
      </c>
      <c r="Z74" s="596">
        <v>0.12</v>
      </c>
      <c r="AA74" s="151" t="s">
        <v>500</v>
      </c>
      <c r="AB74" s="34" t="s">
        <v>814</v>
      </c>
      <c r="AC74" s="51" t="str">
        <f t="shared" si="2"/>
        <v>神奈川県藤沢市</v>
      </c>
      <c r="AD74" s="32">
        <v>10.84</v>
      </c>
      <c r="AE74" s="34">
        <v>10.66</v>
      </c>
      <c r="AF74" s="51">
        <v>10.54</v>
      </c>
      <c r="AG74" s="1"/>
    </row>
    <row r="75" spans="22:33" ht="14.25" thickBot="1">
      <c r="V75" s="6" t="s">
        <v>380</v>
      </c>
      <c r="W75" s="4" t="s">
        <v>815</v>
      </c>
      <c r="X75" s="2"/>
      <c r="Y75" s="595" t="s">
        <v>789</v>
      </c>
      <c r="Z75" s="596">
        <v>0.12</v>
      </c>
      <c r="AA75" s="151" t="s">
        <v>500</v>
      </c>
      <c r="AB75" s="34" t="s">
        <v>816</v>
      </c>
      <c r="AC75" s="51" t="str">
        <f t="shared" si="2"/>
        <v>神奈川県逗子市</v>
      </c>
      <c r="AD75" s="32">
        <v>10.84</v>
      </c>
      <c r="AE75" s="34">
        <v>10.66</v>
      </c>
      <c r="AF75" s="51">
        <v>10.54</v>
      </c>
      <c r="AG75" s="1"/>
    </row>
    <row r="76" spans="22:33" ht="14.25" thickBot="1">
      <c r="V76" s="6" t="s">
        <v>380</v>
      </c>
      <c r="W76" s="4" t="s">
        <v>817</v>
      </c>
      <c r="X76" s="2"/>
      <c r="Y76" s="595" t="s">
        <v>789</v>
      </c>
      <c r="Z76" s="596">
        <v>0.12</v>
      </c>
      <c r="AA76" s="151" t="s">
        <v>500</v>
      </c>
      <c r="AB76" s="34" t="s">
        <v>818</v>
      </c>
      <c r="AC76" s="51" t="str">
        <f t="shared" si="2"/>
        <v>神奈川県三浦市</v>
      </c>
      <c r="AD76" s="32">
        <v>10.84</v>
      </c>
      <c r="AE76" s="34">
        <v>10.66</v>
      </c>
      <c r="AF76" s="51">
        <v>10.54</v>
      </c>
      <c r="AG76" s="1"/>
    </row>
    <row r="77" spans="22:33" ht="14.25" thickBot="1">
      <c r="V77" s="6" t="s">
        <v>380</v>
      </c>
      <c r="W77" s="4" t="s">
        <v>819</v>
      </c>
      <c r="X77" s="2"/>
      <c r="Y77" s="595" t="s">
        <v>789</v>
      </c>
      <c r="Z77" s="596">
        <v>0.12</v>
      </c>
      <c r="AA77" s="151" t="s">
        <v>500</v>
      </c>
      <c r="AB77" s="34" t="s">
        <v>820</v>
      </c>
      <c r="AC77" s="51" t="str">
        <f t="shared" si="2"/>
        <v>神奈川県海老名市</v>
      </c>
      <c r="AD77" s="32">
        <v>10.84</v>
      </c>
      <c r="AE77" s="34">
        <v>10.66</v>
      </c>
      <c r="AF77" s="51">
        <v>10.54</v>
      </c>
      <c r="AG77" s="1"/>
    </row>
    <row r="78" spans="22:33" ht="14.25" thickBot="1">
      <c r="V78" s="6" t="s">
        <v>380</v>
      </c>
      <c r="W78" s="4" t="s">
        <v>821</v>
      </c>
      <c r="X78" s="2"/>
      <c r="Y78" s="595" t="s">
        <v>789</v>
      </c>
      <c r="Z78" s="596">
        <v>0.12</v>
      </c>
      <c r="AA78" s="151" t="s">
        <v>605</v>
      </c>
      <c r="AB78" s="34" t="s">
        <v>822</v>
      </c>
      <c r="AC78" s="51" t="str">
        <f t="shared" si="2"/>
        <v>大阪府豊中市</v>
      </c>
      <c r="AD78" s="32">
        <v>10.84</v>
      </c>
      <c r="AE78" s="34">
        <v>10.66</v>
      </c>
      <c r="AF78" s="51">
        <v>10.54</v>
      </c>
      <c r="AG78" s="1"/>
    </row>
    <row r="79" spans="22:33" ht="14.25" thickBot="1">
      <c r="V79" s="6" t="s">
        <v>380</v>
      </c>
      <c r="W79" s="4" t="s">
        <v>823</v>
      </c>
      <c r="X79" s="2"/>
      <c r="Y79" s="595" t="s">
        <v>789</v>
      </c>
      <c r="Z79" s="596">
        <v>0.12</v>
      </c>
      <c r="AA79" s="151" t="s">
        <v>605</v>
      </c>
      <c r="AB79" s="34" t="s">
        <v>824</v>
      </c>
      <c r="AC79" s="51" t="str">
        <f t="shared" si="2"/>
        <v>大阪府池田市</v>
      </c>
      <c r="AD79" s="32">
        <v>10.84</v>
      </c>
      <c r="AE79" s="34">
        <v>10.66</v>
      </c>
      <c r="AF79" s="51">
        <v>10.54</v>
      </c>
      <c r="AG79" s="1"/>
    </row>
    <row r="80" spans="22:33" ht="14.25" thickBot="1">
      <c r="V80" s="6" t="s">
        <v>380</v>
      </c>
      <c r="W80" s="4" t="s">
        <v>825</v>
      </c>
      <c r="X80" s="2"/>
      <c r="Y80" s="595" t="s">
        <v>789</v>
      </c>
      <c r="Z80" s="596">
        <v>0.12</v>
      </c>
      <c r="AA80" s="151" t="s">
        <v>605</v>
      </c>
      <c r="AB80" s="34" t="s">
        <v>826</v>
      </c>
      <c r="AC80" s="51" t="str">
        <f t="shared" si="2"/>
        <v>大阪府吹田市</v>
      </c>
      <c r="AD80" s="32">
        <v>10.84</v>
      </c>
      <c r="AE80" s="34">
        <v>10.66</v>
      </c>
      <c r="AF80" s="51">
        <v>10.54</v>
      </c>
      <c r="AG80" s="1"/>
    </row>
    <row r="81" spans="22:33" ht="14.25" thickBot="1">
      <c r="V81" s="6" t="s">
        <v>380</v>
      </c>
      <c r="W81" s="4" t="s">
        <v>827</v>
      </c>
      <c r="X81" s="2"/>
      <c r="Y81" s="595" t="s">
        <v>789</v>
      </c>
      <c r="Z81" s="596">
        <v>0.12</v>
      </c>
      <c r="AA81" s="151" t="s">
        <v>605</v>
      </c>
      <c r="AB81" s="34" t="s">
        <v>828</v>
      </c>
      <c r="AC81" s="51" t="str">
        <f t="shared" si="2"/>
        <v>大阪府高槻市</v>
      </c>
      <c r="AD81" s="32">
        <v>10.84</v>
      </c>
      <c r="AE81" s="34">
        <v>10.66</v>
      </c>
      <c r="AF81" s="51">
        <v>10.54</v>
      </c>
      <c r="AG81" s="1"/>
    </row>
    <row r="82" spans="22:33" ht="14.25" thickBot="1">
      <c r="V82" s="6" t="s">
        <v>380</v>
      </c>
      <c r="W82" s="4" t="s">
        <v>829</v>
      </c>
      <c r="X82" s="2"/>
      <c r="Y82" s="595" t="s">
        <v>789</v>
      </c>
      <c r="Z82" s="596">
        <v>0.12</v>
      </c>
      <c r="AA82" s="151" t="s">
        <v>605</v>
      </c>
      <c r="AB82" s="34" t="s">
        <v>830</v>
      </c>
      <c r="AC82" s="51" t="str">
        <f t="shared" si="2"/>
        <v>大阪府寝屋川市</v>
      </c>
      <c r="AD82" s="32">
        <v>10.84</v>
      </c>
      <c r="AE82" s="34">
        <v>10.66</v>
      </c>
      <c r="AF82" s="51">
        <v>10.54</v>
      </c>
      <c r="AG82" s="1"/>
    </row>
    <row r="83" spans="22:33" ht="14.25" thickBot="1">
      <c r="V83" s="6" t="s">
        <v>380</v>
      </c>
      <c r="W83" s="4" t="s">
        <v>831</v>
      </c>
      <c r="X83" s="2"/>
      <c r="Y83" s="595" t="s">
        <v>789</v>
      </c>
      <c r="Z83" s="596">
        <v>0.12</v>
      </c>
      <c r="AA83" s="151" t="s">
        <v>605</v>
      </c>
      <c r="AB83" s="34" t="s">
        <v>832</v>
      </c>
      <c r="AC83" s="51" t="str">
        <f t="shared" si="2"/>
        <v>大阪府箕面市</v>
      </c>
      <c r="AD83" s="32">
        <v>10.84</v>
      </c>
      <c r="AE83" s="34">
        <v>10.66</v>
      </c>
      <c r="AF83" s="51">
        <v>10.54</v>
      </c>
      <c r="AG83" s="1"/>
    </row>
    <row r="84" spans="22:33" ht="14.25" thickBot="1">
      <c r="V84" s="6" t="s">
        <v>380</v>
      </c>
      <c r="W84" s="4" t="s">
        <v>833</v>
      </c>
      <c r="X84" s="2"/>
      <c r="Y84" s="595" t="s">
        <v>789</v>
      </c>
      <c r="Z84" s="596">
        <v>0.12</v>
      </c>
      <c r="AA84" s="151" t="s">
        <v>605</v>
      </c>
      <c r="AB84" s="34" t="s">
        <v>834</v>
      </c>
      <c r="AC84" s="51" t="str">
        <f t="shared" si="2"/>
        <v>大阪府四條畷市</v>
      </c>
      <c r="AD84" s="32">
        <v>10.84</v>
      </c>
      <c r="AE84" s="34">
        <v>10.66</v>
      </c>
      <c r="AF84" s="51">
        <v>10.54</v>
      </c>
      <c r="AG84" s="1"/>
    </row>
    <row r="85" spans="22:33" ht="14.25" thickBot="1">
      <c r="V85" s="6" t="s">
        <v>380</v>
      </c>
      <c r="W85" s="4" t="s">
        <v>835</v>
      </c>
      <c r="X85" s="2"/>
      <c r="Y85" s="597" t="s">
        <v>789</v>
      </c>
      <c r="Z85" s="598">
        <v>0.12</v>
      </c>
      <c r="AA85" s="152" t="s">
        <v>615</v>
      </c>
      <c r="AB85" s="37" t="s">
        <v>836</v>
      </c>
      <c r="AC85" s="69" t="str">
        <f t="shared" si="2"/>
        <v>兵庫県神戸市</v>
      </c>
      <c r="AD85" s="36">
        <v>10.84</v>
      </c>
      <c r="AE85" s="37">
        <v>10.66</v>
      </c>
      <c r="AF85" s="69">
        <v>10.54</v>
      </c>
      <c r="AG85" s="1"/>
    </row>
    <row r="86" spans="22:33" ht="14.25" thickBot="1">
      <c r="V86" s="6" t="s">
        <v>380</v>
      </c>
      <c r="W86" s="4" t="s">
        <v>837</v>
      </c>
      <c r="X86" s="2"/>
      <c r="Y86" s="593" t="s">
        <v>838</v>
      </c>
      <c r="Z86" s="594">
        <v>0.1</v>
      </c>
      <c r="AA86" s="150" t="s">
        <v>448</v>
      </c>
      <c r="AB86" s="50" t="s">
        <v>839</v>
      </c>
      <c r="AC86" s="54" t="str">
        <f t="shared" si="2"/>
        <v>茨城県水戸市</v>
      </c>
      <c r="AD86" s="31">
        <v>10.7</v>
      </c>
      <c r="AE86" s="35">
        <v>10.55</v>
      </c>
      <c r="AF86" s="53">
        <v>10.45</v>
      </c>
      <c r="AG86" s="1"/>
    </row>
    <row r="87" spans="22:33" ht="14.25" thickBot="1">
      <c r="V87" s="6" t="s">
        <v>380</v>
      </c>
      <c r="W87" s="4" t="s">
        <v>840</v>
      </c>
      <c r="X87" s="2"/>
      <c r="Y87" s="595" t="s">
        <v>838</v>
      </c>
      <c r="Z87" s="596">
        <v>0.1</v>
      </c>
      <c r="AA87" s="151" t="s">
        <v>448</v>
      </c>
      <c r="AB87" s="34" t="s">
        <v>841</v>
      </c>
      <c r="AC87" s="43" t="str">
        <f t="shared" si="2"/>
        <v>茨城県日立市</v>
      </c>
      <c r="AD87" s="32">
        <v>10.7</v>
      </c>
      <c r="AE87" s="34">
        <v>10.55</v>
      </c>
      <c r="AF87" s="51">
        <v>10.45</v>
      </c>
      <c r="AG87" s="1"/>
    </row>
    <row r="88" spans="22:33" ht="14.25" thickBot="1">
      <c r="V88" s="6" t="s">
        <v>380</v>
      </c>
      <c r="W88" s="4" t="s">
        <v>842</v>
      </c>
      <c r="X88" s="2"/>
      <c r="Y88" s="595" t="s">
        <v>838</v>
      </c>
      <c r="Z88" s="596">
        <v>0.1</v>
      </c>
      <c r="AA88" s="151" t="s">
        <v>448</v>
      </c>
      <c r="AB88" s="34" t="s">
        <v>843</v>
      </c>
      <c r="AC88" s="43" t="str">
        <f t="shared" si="2"/>
        <v>茨城県龍ケ崎市</v>
      </c>
      <c r="AD88" s="32">
        <v>10.7</v>
      </c>
      <c r="AE88" s="34">
        <v>10.55</v>
      </c>
      <c r="AF88" s="51">
        <v>10.45</v>
      </c>
      <c r="AG88" s="1"/>
    </row>
    <row r="89" spans="22:33" ht="14.25" thickBot="1">
      <c r="V89" s="6" t="s">
        <v>380</v>
      </c>
      <c r="W89" s="4" t="s">
        <v>844</v>
      </c>
      <c r="X89" s="2"/>
      <c r="Y89" s="595" t="s">
        <v>838</v>
      </c>
      <c r="Z89" s="596">
        <v>0.1</v>
      </c>
      <c r="AA89" s="151" t="s">
        <v>448</v>
      </c>
      <c r="AB89" s="34" t="s">
        <v>845</v>
      </c>
      <c r="AC89" s="43" t="str">
        <f t="shared" si="2"/>
        <v>茨城県取手市</v>
      </c>
      <c r="AD89" s="32">
        <v>10.7</v>
      </c>
      <c r="AE89" s="34">
        <v>10.55</v>
      </c>
      <c r="AF89" s="51">
        <v>10.45</v>
      </c>
      <c r="AG89" s="1"/>
    </row>
    <row r="90" spans="22:33" ht="14.25" thickBot="1">
      <c r="V90" s="6" t="s">
        <v>380</v>
      </c>
      <c r="W90" s="4" t="s">
        <v>846</v>
      </c>
      <c r="X90" s="2"/>
      <c r="Y90" s="595" t="s">
        <v>838</v>
      </c>
      <c r="Z90" s="596">
        <v>0.1</v>
      </c>
      <c r="AA90" s="151" t="s">
        <v>448</v>
      </c>
      <c r="AB90" s="34" t="s">
        <v>847</v>
      </c>
      <c r="AC90" s="43" t="str">
        <f t="shared" si="2"/>
        <v>茨城県つくば市</v>
      </c>
      <c r="AD90" s="32">
        <v>10.7</v>
      </c>
      <c r="AE90" s="34">
        <v>10.55</v>
      </c>
      <c r="AF90" s="51">
        <v>10.45</v>
      </c>
      <c r="AG90" s="1"/>
    </row>
    <row r="91" spans="22:33" ht="14.25" thickBot="1">
      <c r="V91" s="6" t="s">
        <v>380</v>
      </c>
      <c r="W91" s="4" t="s">
        <v>848</v>
      </c>
      <c r="X91" s="2"/>
      <c r="Y91" s="595" t="s">
        <v>838</v>
      </c>
      <c r="Z91" s="596">
        <v>0.1</v>
      </c>
      <c r="AA91" s="151" t="s">
        <v>448</v>
      </c>
      <c r="AB91" s="34" t="s">
        <v>849</v>
      </c>
      <c r="AC91" s="43" t="str">
        <f t="shared" si="2"/>
        <v>茨城県守谷市</v>
      </c>
      <c r="AD91" s="32">
        <v>10.7</v>
      </c>
      <c r="AE91" s="34">
        <v>10.55</v>
      </c>
      <c r="AF91" s="51">
        <v>10.45</v>
      </c>
      <c r="AG91" s="1"/>
    </row>
    <row r="92" spans="22:33" ht="14.25" thickBot="1">
      <c r="V92" s="6" t="s">
        <v>380</v>
      </c>
      <c r="W92" s="4" t="s">
        <v>850</v>
      </c>
      <c r="X92" s="2"/>
      <c r="Y92" s="595" t="s">
        <v>838</v>
      </c>
      <c r="Z92" s="596">
        <v>0.1</v>
      </c>
      <c r="AA92" s="151" t="s">
        <v>474</v>
      </c>
      <c r="AB92" s="34" t="s">
        <v>851</v>
      </c>
      <c r="AC92" s="43" t="str">
        <f t="shared" si="2"/>
        <v>埼玉県川口市</v>
      </c>
      <c r="AD92" s="32">
        <v>10.7</v>
      </c>
      <c r="AE92" s="34">
        <v>10.55</v>
      </c>
      <c r="AF92" s="51">
        <v>10.45</v>
      </c>
      <c r="AG92" s="1"/>
    </row>
    <row r="93" spans="22:33" ht="14.25" thickBot="1">
      <c r="V93" s="6" t="s">
        <v>380</v>
      </c>
      <c r="W93" s="4" t="s">
        <v>852</v>
      </c>
      <c r="X93" s="2"/>
      <c r="Y93" s="595" t="s">
        <v>838</v>
      </c>
      <c r="Z93" s="596">
        <v>0.1</v>
      </c>
      <c r="AA93" s="151" t="s">
        <v>474</v>
      </c>
      <c r="AB93" s="34" t="s">
        <v>853</v>
      </c>
      <c r="AC93" s="43" t="str">
        <f t="shared" si="2"/>
        <v>埼玉県草加市</v>
      </c>
      <c r="AD93" s="32">
        <v>10.7</v>
      </c>
      <c r="AE93" s="34">
        <v>10.55</v>
      </c>
      <c r="AF93" s="51">
        <v>10.45</v>
      </c>
      <c r="AG93" s="1"/>
    </row>
    <row r="94" spans="22:33" ht="14.25" thickBot="1">
      <c r="V94" s="6" t="s">
        <v>380</v>
      </c>
      <c r="W94" s="4" t="s">
        <v>854</v>
      </c>
      <c r="X94" s="2"/>
      <c r="Y94" s="595" t="s">
        <v>838</v>
      </c>
      <c r="Z94" s="596">
        <v>0.1</v>
      </c>
      <c r="AA94" s="151" t="s">
        <v>474</v>
      </c>
      <c r="AB94" s="34" t="s">
        <v>855</v>
      </c>
      <c r="AC94" s="43" t="str">
        <f t="shared" si="2"/>
        <v>埼玉県戸田市</v>
      </c>
      <c r="AD94" s="32">
        <v>10.7</v>
      </c>
      <c r="AE94" s="34">
        <v>10.55</v>
      </c>
      <c r="AF94" s="51">
        <v>10.45</v>
      </c>
      <c r="AG94" s="1"/>
    </row>
    <row r="95" spans="22:33" ht="14.25" thickBot="1">
      <c r="V95" s="6" t="s">
        <v>380</v>
      </c>
      <c r="W95" s="4" t="s">
        <v>856</v>
      </c>
      <c r="X95" s="2"/>
      <c r="Y95" s="595" t="s">
        <v>838</v>
      </c>
      <c r="Z95" s="596">
        <v>0.1</v>
      </c>
      <c r="AA95" s="151" t="s">
        <v>474</v>
      </c>
      <c r="AB95" s="34" t="s">
        <v>857</v>
      </c>
      <c r="AC95" s="43" t="str">
        <f t="shared" si="2"/>
        <v>埼玉県新座市</v>
      </c>
      <c r="AD95" s="32">
        <v>10.7</v>
      </c>
      <c r="AE95" s="34">
        <v>10.55</v>
      </c>
      <c r="AF95" s="51">
        <v>10.45</v>
      </c>
      <c r="AG95" s="1"/>
    </row>
    <row r="96" spans="22:33" ht="14.25" thickBot="1">
      <c r="V96" s="6" t="s">
        <v>380</v>
      </c>
      <c r="W96" s="4" t="s">
        <v>858</v>
      </c>
      <c r="X96" s="2"/>
      <c r="Y96" s="595" t="s">
        <v>838</v>
      </c>
      <c r="Z96" s="596">
        <v>0.1</v>
      </c>
      <c r="AA96" s="151" t="s">
        <v>474</v>
      </c>
      <c r="AB96" s="34" t="s">
        <v>859</v>
      </c>
      <c r="AC96" s="43" t="str">
        <f t="shared" si="2"/>
        <v>埼玉県八潮市</v>
      </c>
      <c r="AD96" s="32">
        <v>10.7</v>
      </c>
      <c r="AE96" s="34">
        <v>10.55</v>
      </c>
      <c r="AF96" s="51">
        <v>10.45</v>
      </c>
      <c r="AG96" s="1"/>
    </row>
    <row r="97" spans="22:33" ht="14.25" thickBot="1">
      <c r="V97" s="6" t="s">
        <v>380</v>
      </c>
      <c r="W97" s="4" t="s">
        <v>860</v>
      </c>
      <c r="X97" s="2"/>
      <c r="Y97" s="595" t="s">
        <v>838</v>
      </c>
      <c r="Z97" s="596">
        <v>0.1</v>
      </c>
      <c r="AA97" s="151" t="s">
        <v>474</v>
      </c>
      <c r="AB97" s="34" t="s">
        <v>861</v>
      </c>
      <c r="AC97" s="43" t="str">
        <f t="shared" si="2"/>
        <v>埼玉県ふじみ野市</v>
      </c>
      <c r="AD97" s="32">
        <v>10.7</v>
      </c>
      <c r="AE97" s="34">
        <v>10.55</v>
      </c>
      <c r="AF97" s="51">
        <v>10.45</v>
      </c>
      <c r="AG97" s="1"/>
    </row>
    <row r="98" spans="22:33" ht="14.25" thickBot="1">
      <c r="V98" s="6" t="s">
        <v>380</v>
      </c>
      <c r="W98" s="4" t="s">
        <v>862</v>
      </c>
      <c r="X98" s="2"/>
      <c r="Y98" s="595" t="s">
        <v>838</v>
      </c>
      <c r="Z98" s="596">
        <v>0.1</v>
      </c>
      <c r="AA98" s="151" t="s">
        <v>483</v>
      </c>
      <c r="AB98" s="34" t="s">
        <v>863</v>
      </c>
      <c r="AC98" s="43" t="str">
        <f t="shared" si="2"/>
        <v>千葉県市川市</v>
      </c>
      <c r="AD98" s="32">
        <v>10.7</v>
      </c>
      <c r="AE98" s="34">
        <v>10.55</v>
      </c>
      <c r="AF98" s="51">
        <v>10.45</v>
      </c>
      <c r="AG98" s="1"/>
    </row>
    <row r="99" spans="22:33" ht="14.25" thickBot="1">
      <c r="V99" s="6" t="s">
        <v>380</v>
      </c>
      <c r="W99" s="4" t="s">
        <v>864</v>
      </c>
      <c r="X99" s="2"/>
      <c r="Y99" s="595" t="s">
        <v>838</v>
      </c>
      <c r="Z99" s="596">
        <v>0.1</v>
      </c>
      <c r="AA99" s="151" t="s">
        <v>483</v>
      </c>
      <c r="AB99" s="34" t="s">
        <v>865</v>
      </c>
      <c r="AC99" s="43" t="str">
        <f t="shared" si="2"/>
        <v>千葉県松戸市</v>
      </c>
      <c r="AD99" s="32">
        <v>10.7</v>
      </c>
      <c r="AE99" s="34">
        <v>10.55</v>
      </c>
      <c r="AF99" s="51">
        <v>10.45</v>
      </c>
      <c r="AG99" s="1"/>
    </row>
    <row r="100" spans="22:33" ht="14.25" thickBot="1">
      <c r="V100" s="6" t="s">
        <v>380</v>
      </c>
      <c r="W100" s="4" t="s">
        <v>866</v>
      </c>
      <c r="X100" s="2"/>
      <c r="Y100" s="595" t="s">
        <v>838</v>
      </c>
      <c r="Z100" s="596">
        <v>0.1</v>
      </c>
      <c r="AA100" s="151" t="s">
        <v>483</v>
      </c>
      <c r="AB100" s="34" t="s">
        <v>867</v>
      </c>
      <c r="AC100" s="43" t="str">
        <f t="shared" si="2"/>
        <v>千葉県佐倉市</v>
      </c>
      <c r="AD100" s="32">
        <v>10.7</v>
      </c>
      <c r="AE100" s="34">
        <v>10.55</v>
      </c>
      <c r="AF100" s="51">
        <v>10.45</v>
      </c>
      <c r="AG100" s="1"/>
    </row>
    <row r="101" spans="22:33" ht="14.25" thickBot="1">
      <c r="V101" s="6" t="s">
        <v>380</v>
      </c>
      <c r="W101" s="4" t="s">
        <v>868</v>
      </c>
      <c r="X101" s="2"/>
      <c r="Y101" s="595" t="s">
        <v>838</v>
      </c>
      <c r="Z101" s="596">
        <v>0.1</v>
      </c>
      <c r="AA101" s="151" t="s">
        <v>483</v>
      </c>
      <c r="AB101" s="34" t="s">
        <v>869</v>
      </c>
      <c r="AC101" s="43" t="str">
        <f t="shared" si="2"/>
        <v>千葉県市原市</v>
      </c>
      <c r="AD101" s="32">
        <v>10.7</v>
      </c>
      <c r="AE101" s="34">
        <v>10.55</v>
      </c>
      <c r="AF101" s="51">
        <v>10.45</v>
      </c>
      <c r="AG101" s="1"/>
    </row>
    <row r="102" spans="22:33" ht="14.25" thickBot="1">
      <c r="V102" s="6" t="s">
        <v>380</v>
      </c>
      <c r="W102" s="4" t="s">
        <v>870</v>
      </c>
      <c r="X102" s="2"/>
      <c r="Y102" s="595" t="s">
        <v>838</v>
      </c>
      <c r="Z102" s="596">
        <v>0.1</v>
      </c>
      <c r="AA102" s="151" t="s">
        <v>871</v>
      </c>
      <c r="AB102" s="34" t="s">
        <v>872</v>
      </c>
      <c r="AC102" s="43" t="str">
        <f t="shared" si="2"/>
        <v>千葉県八千代市</v>
      </c>
      <c r="AD102" s="32">
        <v>10.7</v>
      </c>
      <c r="AE102" s="34">
        <v>10.55</v>
      </c>
      <c r="AF102" s="51">
        <v>10.45</v>
      </c>
      <c r="AG102" s="1"/>
    </row>
    <row r="103" spans="22:33" ht="14.25" thickBot="1">
      <c r="V103" s="6" t="s">
        <v>380</v>
      </c>
      <c r="W103" s="4" t="s">
        <v>873</v>
      </c>
      <c r="X103" s="2"/>
      <c r="Y103" s="595" t="s">
        <v>838</v>
      </c>
      <c r="Z103" s="596">
        <v>0.1</v>
      </c>
      <c r="AA103" s="151" t="s">
        <v>483</v>
      </c>
      <c r="AB103" s="34" t="s">
        <v>874</v>
      </c>
      <c r="AC103" s="43" t="str">
        <f t="shared" si="2"/>
        <v>千葉県四街道市</v>
      </c>
      <c r="AD103" s="32">
        <v>10.7</v>
      </c>
      <c r="AE103" s="34">
        <v>10.55</v>
      </c>
      <c r="AF103" s="51">
        <v>10.45</v>
      </c>
      <c r="AG103" s="1"/>
    </row>
    <row r="104" spans="22:33" ht="14.25" thickBot="1">
      <c r="V104" s="6" t="s">
        <v>380</v>
      </c>
      <c r="W104" s="4" t="s">
        <v>875</v>
      </c>
      <c r="X104" s="2"/>
      <c r="Y104" s="595" t="s">
        <v>838</v>
      </c>
      <c r="Z104" s="596">
        <v>0.1</v>
      </c>
      <c r="AA104" s="151" t="s">
        <v>483</v>
      </c>
      <c r="AB104" s="34" t="s">
        <v>876</v>
      </c>
      <c r="AC104" s="43" t="str">
        <f t="shared" si="2"/>
        <v>千葉県袖ケ浦市</v>
      </c>
      <c r="AD104" s="32">
        <v>10.7</v>
      </c>
      <c r="AE104" s="34">
        <v>10.55</v>
      </c>
      <c r="AF104" s="51">
        <v>10.45</v>
      </c>
      <c r="AG104" s="1"/>
    </row>
    <row r="105" spans="22:33" ht="14.25" thickBot="1">
      <c r="V105" s="6" t="s">
        <v>380</v>
      </c>
      <c r="W105" s="4" t="s">
        <v>877</v>
      </c>
      <c r="X105" s="2"/>
      <c r="Y105" s="595" t="s">
        <v>838</v>
      </c>
      <c r="Z105" s="596">
        <v>0.1</v>
      </c>
      <c r="AA105" s="151" t="s">
        <v>483</v>
      </c>
      <c r="AB105" s="34" t="s">
        <v>878</v>
      </c>
      <c r="AC105" s="43" t="str">
        <f t="shared" si="2"/>
        <v>千葉県印西市</v>
      </c>
      <c r="AD105" s="32">
        <v>10.7</v>
      </c>
      <c r="AE105" s="34">
        <v>10.55</v>
      </c>
      <c r="AF105" s="51">
        <v>10.45</v>
      </c>
      <c r="AG105" s="1"/>
    </row>
    <row r="106" spans="22:33" ht="14.25" thickBot="1">
      <c r="V106" s="6" t="s">
        <v>380</v>
      </c>
      <c r="W106" s="4" t="s">
        <v>879</v>
      </c>
      <c r="X106" s="2"/>
      <c r="Y106" s="595" t="s">
        <v>838</v>
      </c>
      <c r="Z106" s="596">
        <v>0.1</v>
      </c>
      <c r="AA106" s="151" t="s">
        <v>483</v>
      </c>
      <c r="AB106" s="34" t="s">
        <v>880</v>
      </c>
      <c r="AC106" s="43" t="str">
        <f t="shared" si="2"/>
        <v>千葉県栄町</v>
      </c>
      <c r="AD106" s="32">
        <v>10.7</v>
      </c>
      <c r="AE106" s="34">
        <v>10.55</v>
      </c>
      <c r="AF106" s="51">
        <v>10.45</v>
      </c>
      <c r="AG106" s="1"/>
    </row>
    <row r="107" spans="22:33" ht="14.25" thickBot="1">
      <c r="V107" s="6" t="s">
        <v>380</v>
      </c>
      <c r="W107" s="4" t="s">
        <v>881</v>
      </c>
      <c r="X107" s="2"/>
      <c r="Y107" s="595" t="s">
        <v>838</v>
      </c>
      <c r="Z107" s="596">
        <v>0.1</v>
      </c>
      <c r="AA107" s="151" t="s">
        <v>490</v>
      </c>
      <c r="AB107" s="34" t="s">
        <v>882</v>
      </c>
      <c r="AC107" s="43" t="str">
        <f t="shared" si="2"/>
        <v>東京都福生市</v>
      </c>
      <c r="AD107" s="32">
        <v>10.7</v>
      </c>
      <c r="AE107" s="34">
        <v>10.55</v>
      </c>
      <c r="AF107" s="51">
        <v>10.45</v>
      </c>
      <c r="AG107" s="1"/>
    </row>
    <row r="108" spans="22:33" ht="14.25" thickBot="1">
      <c r="V108" s="6" t="s">
        <v>380</v>
      </c>
      <c r="W108" s="4" t="s">
        <v>883</v>
      </c>
      <c r="X108" s="2"/>
      <c r="Y108" s="595" t="s">
        <v>838</v>
      </c>
      <c r="Z108" s="596">
        <v>0.1</v>
      </c>
      <c r="AA108" s="151" t="s">
        <v>490</v>
      </c>
      <c r="AB108" s="34" t="s">
        <v>884</v>
      </c>
      <c r="AC108" s="43" t="str">
        <f t="shared" si="2"/>
        <v>東京都あきる野市</v>
      </c>
      <c r="AD108" s="32">
        <v>10.7</v>
      </c>
      <c r="AE108" s="34">
        <v>10.55</v>
      </c>
      <c r="AF108" s="51">
        <v>10.45</v>
      </c>
      <c r="AG108" s="1"/>
    </row>
    <row r="109" spans="22:33" ht="14.25" thickBot="1">
      <c r="V109" s="6" t="s">
        <v>380</v>
      </c>
      <c r="W109" s="4" t="s">
        <v>885</v>
      </c>
      <c r="X109" s="2"/>
      <c r="Y109" s="595" t="s">
        <v>838</v>
      </c>
      <c r="Z109" s="596">
        <v>0.1</v>
      </c>
      <c r="AA109" s="151" t="s">
        <v>490</v>
      </c>
      <c r="AB109" s="34" t="s">
        <v>886</v>
      </c>
      <c r="AC109" s="43" t="str">
        <f t="shared" si="2"/>
        <v>東京都日の出町</v>
      </c>
      <c r="AD109" s="32">
        <v>10.7</v>
      </c>
      <c r="AE109" s="34">
        <v>10.55</v>
      </c>
      <c r="AF109" s="51">
        <v>10.45</v>
      </c>
      <c r="AG109" s="1"/>
    </row>
    <row r="110" spans="22:33" ht="14.25" thickBot="1">
      <c r="V110" s="6" t="s">
        <v>380</v>
      </c>
      <c r="W110" s="4" t="s">
        <v>887</v>
      </c>
      <c r="X110" s="2"/>
      <c r="Y110" s="595" t="s">
        <v>838</v>
      </c>
      <c r="Z110" s="596">
        <v>0.1</v>
      </c>
      <c r="AA110" s="151" t="s">
        <v>500</v>
      </c>
      <c r="AB110" s="34" t="s">
        <v>888</v>
      </c>
      <c r="AC110" s="43" t="str">
        <f t="shared" si="2"/>
        <v>神奈川県平塚市</v>
      </c>
      <c r="AD110" s="32">
        <v>10.7</v>
      </c>
      <c r="AE110" s="34">
        <v>10.55</v>
      </c>
      <c r="AF110" s="51">
        <v>10.45</v>
      </c>
      <c r="AG110" s="1"/>
    </row>
    <row r="111" spans="22:33" ht="14.25" thickBot="1">
      <c r="V111" s="6" t="s">
        <v>380</v>
      </c>
      <c r="W111" s="4" t="s">
        <v>889</v>
      </c>
      <c r="X111" s="2"/>
      <c r="Y111" s="595" t="s">
        <v>838</v>
      </c>
      <c r="Z111" s="596">
        <v>0.1</v>
      </c>
      <c r="AA111" s="151" t="s">
        <v>500</v>
      </c>
      <c r="AB111" s="34" t="s">
        <v>890</v>
      </c>
      <c r="AC111" s="43" t="str">
        <f t="shared" si="2"/>
        <v>神奈川県小田原市</v>
      </c>
      <c r="AD111" s="32">
        <v>10.7</v>
      </c>
      <c r="AE111" s="34">
        <v>10.55</v>
      </c>
      <c r="AF111" s="51">
        <v>10.45</v>
      </c>
      <c r="AG111" s="1"/>
    </row>
    <row r="112" spans="22:33" ht="14.25" thickBot="1">
      <c r="V112" s="6" t="s">
        <v>380</v>
      </c>
      <c r="W112" s="4" t="s">
        <v>891</v>
      </c>
      <c r="X112" s="2"/>
      <c r="Y112" s="595" t="s">
        <v>838</v>
      </c>
      <c r="Z112" s="596">
        <v>0.1</v>
      </c>
      <c r="AA112" s="151" t="s">
        <v>500</v>
      </c>
      <c r="AB112" s="34" t="s">
        <v>892</v>
      </c>
      <c r="AC112" s="43" t="str">
        <f t="shared" si="2"/>
        <v>神奈川県茅ヶ崎市</v>
      </c>
      <c r="AD112" s="32">
        <v>10.7</v>
      </c>
      <c r="AE112" s="34">
        <v>10.55</v>
      </c>
      <c r="AF112" s="51">
        <v>10.45</v>
      </c>
      <c r="AG112" s="1"/>
    </row>
    <row r="113" spans="22:33" ht="14.25" thickBot="1">
      <c r="V113" s="6" t="s">
        <v>380</v>
      </c>
      <c r="W113" s="4" t="s">
        <v>893</v>
      </c>
      <c r="X113" s="2"/>
      <c r="Y113" s="595" t="s">
        <v>838</v>
      </c>
      <c r="Z113" s="596">
        <v>0.1</v>
      </c>
      <c r="AA113" s="151" t="s">
        <v>500</v>
      </c>
      <c r="AB113" s="34" t="s">
        <v>894</v>
      </c>
      <c r="AC113" s="43" t="str">
        <f t="shared" si="2"/>
        <v>神奈川県大和市</v>
      </c>
      <c r="AD113" s="32">
        <v>10.7</v>
      </c>
      <c r="AE113" s="34">
        <v>10.55</v>
      </c>
      <c r="AF113" s="51">
        <v>10.45</v>
      </c>
      <c r="AG113" s="1"/>
    </row>
    <row r="114" spans="22:33" ht="14.25" thickBot="1">
      <c r="V114" s="6" t="s">
        <v>380</v>
      </c>
      <c r="W114" s="4" t="s">
        <v>895</v>
      </c>
      <c r="X114" s="2"/>
      <c r="Y114" s="595" t="s">
        <v>838</v>
      </c>
      <c r="Z114" s="596">
        <v>0.1</v>
      </c>
      <c r="AA114" s="151" t="s">
        <v>500</v>
      </c>
      <c r="AB114" s="34" t="s">
        <v>896</v>
      </c>
      <c r="AC114" s="43" t="str">
        <f t="shared" si="2"/>
        <v>神奈川県伊勢原市</v>
      </c>
      <c r="AD114" s="32">
        <v>10.7</v>
      </c>
      <c r="AE114" s="34">
        <v>10.55</v>
      </c>
      <c r="AF114" s="51">
        <v>10.45</v>
      </c>
      <c r="AG114" s="1"/>
    </row>
    <row r="115" spans="22:33" ht="14.25" thickBot="1">
      <c r="V115" s="6" t="s">
        <v>380</v>
      </c>
      <c r="W115" s="4" t="s">
        <v>897</v>
      </c>
      <c r="X115" s="2"/>
      <c r="Y115" s="595" t="s">
        <v>838</v>
      </c>
      <c r="Z115" s="596">
        <v>0.1</v>
      </c>
      <c r="AA115" s="151" t="s">
        <v>500</v>
      </c>
      <c r="AB115" s="34" t="s">
        <v>898</v>
      </c>
      <c r="AC115" s="43" t="str">
        <f t="shared" si="2"/>
        <v>神奈川県座間市</v>
      </c>
      <c r="AD115" s="32">
        <v>10.7</v>
      </c>
      <c r="AE115" s="34">
        <v>10.55</v>
      </c>
      <c r="AF115" s="51">
        <v>10.45</v>
      </c>
      <c r="AG115" s="1"/>
    </row>
    <row r="116" spans="22:33" ht="14.25" thickBot="1">
      <c r="V116" s="6" t="s">
        <v>380</v>
      </c>
      <c r="W116" s="4" t="s">
        <v>899</v>
      </c>
      <c r="X116" s="2"/>
      <c r="Y116" s="595" t="s">
        <v>838</v>
      </c>
      <c r="Z116" s="596">
        <v>0.1</v>
      </c>
      <c r="AA116" s="151" t="s">
        <v>500</v>
      </c>
      <c r="AB116" s="34" t="s">
        <v>900</v>
      </c>
      <c r="AC116" s="43" t="str">
        <f t="shared" si="2"/>
        <v>神奈川県綾瀬市</v>
      </c>
      <c r="AD116" s="32">
        <v>10.7</v>
      </c>
      <c r="AE116" s="34">
        <v>10.55</v>
      </c>
      <c r="AF116" s="51">
        <v>10.45</v>
      </c>
      <c r="AG116" s="1"/>
    </row>
    <row r="117" spans="22:33" ht="14.25" thickBot="1">
      <c r="V117" s="6" t="s">
        <v>380</v>
      </c>
      <c r="W117" s="4" t="s">
        <v>901</v>
      </c>
      <c r="X117" s="2"/>
      <c r="Y117" s="595" t="s">
        <v>838</v>
      </c>
      <c r="Z117" s="596">
        <v>0.1</v>
      </c>
      <c r="AA117" s="151" t="s">
        <v>500</v>
      </c>
      <c r="AB117" s="34" t="s">
        <v>902</v>
      </c>
      <c r="AC117" s="43" t="str">
        <f t="shared" si="2"/>
        <v>神奈川県葉山町</v>
      </c>
      <c r="AD117" s="32">
        <v>10.7</v>
      </c>
      <c r="AE117" s="34">
        <v>10.55</v>
      </c>
      <c r="AF117" s="51">
        <v>10.45</v>
      </c>
      <c r="AG117" s="1"/>
    </row>
    <row r="118" spans="22:33" ht="14.25" thickBot="1">
      <c r="V118" s="6" t="s">
        <v>380</v>
      </c>
      <c r="W118" s="4" t="s">
        <v>903</v>
      </c>
      <c r="X118" s="2"/>
      <c r="Y118" s="595" t="s">
        <v>838</v>
      </c>
      <c r="Z118" s="596">
        <v>0.1</v>
      </c>
      <c r="AA118" s="151" t="s">
        <v>500</v>
      </c>
      <c r="AB118" s="34" t="s">
        <v>904</v>
      </c>
      <c r="AC118" s="43" t="str">
        <f t="shared" si="2"/>
        <v>神奈川県寒川町</v>
      </c>
      <c r="AD118" s="32">
        <v>10.7</v>
      </c>
      <c r="AE118" s="34">
        <v>10.55</v>
      </c>
      <c r="AF118" s="51">
        <v>10.45</v>
      </c>
      <c r="AG118" s="1"/>
    </row>
    <row r="119" spans="22:33" ht="14.25" thickBot="1">
      <c r="V119" s="6" t="s">
        <v>380</v>
      </c>
      <c r="W119" s="4" t="s">
        <v>905</v>
      </c>
      <c r="X119" s="2"/>
      <c r="Y119" s="595" t="s">
        <v>838</v>
      </c>
      <c r="Z119" s="596">
        <v>0.1</v>
      </c>
      <c r="AA119" s="151" t="s">
        <v>500</v>
      </c>
      <c r="AB119" s="34" t="s">
        <v>906</v>
      </c>
      <c r="AC119" s="43" t="str">
        <f t="shared" si="2"/>
        <v>神奈川県愛川町</v>
      </c>
      <c r="AD119" s="32">
        <v>10.7</v>
      </c>
      <c r="AE119" s="34">
        <v>10.55</v>
      </c>
      <c r="AF119" s="51">
        <v>10.45</v>
      </c>
      <c r="AG119" s="1"/>
    </row>
    <row r="120" spans="22:33" ht="14.25" thickBot="1">
      <c r="V120" s="6" t="s">
        <v>380</v>
      </c>
      <c r="W120" s="4" t="s">
        <v>907</v>
      </c>
      <c r="X120" s="2"/>
      <c r="Y120" s="595" t="s">
        <v>838</v>
      </c>
      <c r="Z120" s="596">
        <v>0.1</v>
      </c>
      <c r="AA120" s="151" t="s">
        <v>908</v>
      </c>
      <c r="AB120" s="34" t="s">
        <v>909</v>
      </c>
      <c r="AC120" s="43" t="str">
        <f t="shared" si="2"/>
        <v>愛知県知立市</v>
      </c>
      <c r="AD120" s="32">
        <v>10.7</v>
      </c>
      <c r="AE120" s="34">
        <v>10.55</v>
      </c>
      <c r="AF120" s="51">
        <v>10.45</v>
      </c>
      <c r="AG120" s="1"/>
    </row>
    <row r="121" spans="22:33" ht="14.25" thickBot="1">
      <c r="V121" s="6" t="s">
        <v>380</v>
      </c>
      <c r="W121" s="4" t="s">
        <v>910</v>
      </c>
      <c r="X121" s="2"/>
      <c r="Y121" s="595" t="s">
        <v>838</v>
      </c>
      <c r="Z121" s="596">
        <v>0.1</v>
      </c>
      <c r="AA121" s="151" t="s">
        <v>908</v>
      </c>
      <c r="AB121" s="34" t="s">
        <v>911</v>
      </c>
      <c r="AC121" s="43" t="str">
        <f t="shared" si="2"/>
        <v>愛知県豊明市</v>
      </c>
      <c r="AD121" s="32">
        <v>10.7</v>
      </c>
      <c r="AE121" s="34">
        <v>10.55</v>
      </c>
      <c r="AF121" s="51">
        <v>10.45</v>
      </c>
      <c r="AG121" s="1"/>
    </row>
    <row r="122" spans="22:33" ht="14.25" thickBot="1">
      <c r="V122" s="6" t="s">
        <v>380</v>
      </c>
      <c r="W122" s="4" t="s">
        <v>912</v>
      </c>
      <c r="X122" s="2"/>
      <c r="Y122" s="595" t="s">
        <v>838</v>
      </c>
      <c r="Z122" s="596">
        <v>0.1</v>
      </c>
      <c r="AA122" s="151" t="s">
        <v>908</v>
      </c>
      <c r="AB122" s="34" t="s">
        <v>913</v>
      </c>
      <c r="AC122" s="43" t="str">
        <f t="shared" si="2"/>
        <v>愛知県みよし市</v>
      </c>
      <c r="AD122" s="32">
        <v>10.7</v>
      </c>
      <c r="AE122" s="34">
        <v>10.55</v>
      </c>
      <c r="AF122" s="51">
        <v>10.45</v>
      </c>
      <c r="AG122" s="1"/>
    </row>
    <row r="123" spans="22:33" ht="14.25" thickBot="1">
      <c r="V123" s="6" t="s">
        <v>380</v>
      </c>
      <c r="W123" s="4" t="s">
        <v>914</v>
      </c>
      <c r="X123" s="2"/>
      <c r="Y123" s="595" t="s">
        <v>838</v>
      </c>
      <c r="Z123" s="596">
        <v>0.1</v>
      </c>
      <c r="AA123" s="151" t="s">
        <v>587</v>
      </c>
      <c r="AB123" s="34" t="s">
        <v>915</v>
      </c>
      <c r="AC123" s="43" t="str">
        <f t="shared" si="2"/>
        <v>滋賀県大津市</v>
      </c>
      <c r="AD123" s="32">
        <v>10.7</v>
      </c>
      <c r="AE123" s="34">
        <v>10.55</v>
      </c>
      <c r="AF123" s="51">
        <v>10.45</v>
      </c>
      <c r="AG123" s="1"/>
    </row>
    <row r="124" spans="22:33" ht="14.25" thickBot="1">
      <c r="V124" s="6" t="s">
        <v>380</v>
      </c>
      <c r="W124" s="4" t="s">
        <v>916</v>
      </c>
      <c r="X124" s="2"/>
      <c r="Y124" s="595" t="s">
        <v>838</v>
      </c>
      <c r="Z124" s="596">
        <v>0.1</v>
      </c>
      <c r="AA124" s="151" t="s">
        <v>587</v>
      </c>
      <c r="AB124" s="34" t="s">
        <v>917</v>
      </c>
      <c r="AC124" s="43" t="str">
        <f t="shared" si="2"/>
        <v>滋賀県草津市</v>
      </c>
      <c r="AD124" s="32">
        <v>10.7</v>
      </c>
      <c r="AE124" s="34">
        <v>10.55</v>
      </c>
      <c r="AF124" s="51">
        <v>10.45</v>
      </c>
      <c r="AG124" s="1"/>
    </row>
    <row r="125" spans="22:33" ht="14.25" thickBot="1">
      <c r="V125" s="6" t="s">
        <v>380</v>
      </c>
      <c r="W125" s="4" t="s">
        <v>918</v>
      </c>
      <c r="X125" s="2"/>
      <c r="Y125" s="595" t="s">
        <v>838</v>
      </c>
      <c r="Z125" s="596">
        <v>0.1</v>
      </c>
      <c r="AA125" s="151" t="s">
        <v>587</v>
      </c>
      <c r="AB125" s="34" t="s">
        <v>919</v>
      </c>
      <c r="AC125" s="43" t="str">
        <f t="shared" si="2"/>
        <v>滋賀県栗東市</v>
      </c>
      <c r="AD125" s="32">
        <v>10.7</v>
      </c>
      <c r="AE125" s="34">
        <v>10.55</v>
      </c>
      <c r="AF125" s="51">
        <v>10.45</v>
      </c>
      <c r="AG125" s="1"/>
    </row>
    <row r="126" spans="22:33" ht="14.25" thickBot="1">
      <c r="V126" s="6" t="s">
        <v>380</v>
      </c>
      <c r="W126" s="4" t="s">
        <v>920</v>
      </c>
      <c r="X126" s="2"/>
      <c r="Y126" s="595" t="s">
        <v>838</v>
      </c>
      <c r="Z126" s="596">
        <v>0.1</v>
      </c>
      <c r="AA126" s="151" t="s">
        <v>596</v>
      </c>
      <c r="AB126" s="34" t="s">
        <v>921</v>
      </c>
      <c r="AC126" s="43" t="str">
        <f t="shared" si="2"/>
        <v>京都府京都市</v>
      </c>
      <c r="AD126" s="32">
        <v>10.7</v>
      </c>
      <c r="AE126" s="34">
        <v>10.55</v>
      </c>
      <c r="AF126" s="51">
        <v>10.45</v>
      </c>
      <c r="AG126" s="1"/>
    </row>
    <row r="127" spans="22:33" ht="14.25" thickBot="1">
      <c r="V127" s="6" t="s">
        <v>380</v>
      </c>
      <c r="W127" s="4" t="s">
        <v>922</v>
      </c>
      <c r="X127" s="2"/>
      <c r="Y127" s="595" t="s">
        <v>838</v>
      </c>
      <c r="Z127" s="596">
        <v>0.1</v>
      </c>
      <c r="AA127" s="151" t="s">
        <v>596</v>
      </c>
      <c r="AB127" s="34" t="s">
        <v>923</v>
      </c>
      <c r="AC127" s="43" t="str">
        <f t="shared" si="2"/>
        <v>京都府長岡京市</v>
      </c>
      <c r="AD127" s="32">
        <v>10.7</v>
      </c>
      <c r="AE127" s="34">
        <v>10.55</v>
      </c>
      <c r="AF127" s="51">
        <v>10.45</v>
      </c>
      <c r="AG127" s="1"/>
    </row>
    <row r="128" spans="22:33" ht="14.25" thickBot="1">
      <c r="V128" s="6" t="s">
        <v>380</v>
      </c>
      <c r="W128" s="4" t="s">
        <v>924</v>
      </c>
      <c r="X128" s="2"/>
      <c r="Y128" s="595" t="s">
        <v>838</v>
      </c>
      <c r="Z128" s="596">
        <v>0.1</v>
      </c>
      <c r="AA128" s="151" t="s">
        <v>605</v>
      </c>
      <c r="AB128" s="34" t="s">
        <v>925</v>
      </c>
      <c r="AC128" s="43" t="str">
        <f t="shared" si="2"/>
        <v>大阪府堺市</v>
      </c>
      <c r="AD128" s="32">
        <v>10.7</v>
      </c>
      <c r="AE128" s="34">
        <v>10.55</v>
      </c>
      <c r="AF128" s="51">
        <v>10.45</v>
      </c>
      <c r="AG128" s="1"/>
    </row>
    <row r="129" spans="22:33" ht="14.25" thickBot="1">
      <c r="V129" s="6" t="s">
        <v>380</v>
      </c>
      <c r="W129" s="4" t="s">
        <v>926</v>
      </c>
      <c r="X129" s="2"/>
      <c r="Y129" s="595" t="s">
        <v>838</v>
      </c>
      <c r="Z129" s="596">
        <v>0.1</v>
      </c>
      <c r="AA129" s="151" t="s">
        <v>605</v>
      </c>
      <c r="AB129" s="34" t="s">
        <v>927</v>
      </c>
      <c r="AC129" s="43" t="str">
        <f t="shared" si="2"/>
        <v>大阪府枚方市</v>
      </c>
      <c r="AD129" s="32">
        <v>10.7</v>
      </c>
      <c r="AE129" s="34">
        <v>10.55</v>
      </c>
      <c r="AF129" s="51">
        <v>10.45</v>
      </c>
      <c r="AG129" s="1"/>
    </row>
    <row r="130" spans="22:33" ht="14.25" thickBot="1">
      <c r="V130" s="6" t="s">
        <v>380</v>
      </c>
      <c r="W130" s="4" t="s">
        <v>928</v>
      </c>
      <c r="X130" s="2"/>
      <c r="Y130" s="595" t="s">
        <v>838</v>
      </c>
      <c r="Z130" s="596">
        <v>0.1</v>
      </c>
      <c r="AA130" s="151" t="s">
        <v>605</v>
      </c>
      <c r="AB130" s="34" t="s">
        <v>929</v>
      </c>
      <c r="AC130" s="43" t="str">
        <f t="shared" si="2"/>
        <v>大阪府茨木市</v>
      </c>
      <c r="AD130" s="32">
        <v>10.7</v>
      </c>
      <c r="AE130" s="34">
        <v>10.55</v>
      </c>
      <c r="AF130" s="51">
        <v>10.45</v>
      </c>
      <c r="AG130" s="1"/>
    </row>
    <row r="131" spans="22:33" ht="14.25" thickBot="1">
      <c r="V131" s="6" t="s">
        <v>380</v>
      </c>
      <c r="W131" s="4" t="s">
        <v>930</v>
      </c>
      <c r="X131" s="2"/>
      <c r="Y131" s="595" t="s">
        <v>838</v>
      </c>
      <c r="Z131" s="596">
        <v>0.1</v>
      </c>
      <c r="AA131" s="151" t="s">
        <v>605</v>
      </c>
      <c r="AB131" s="34" t="s">
        <v>931</v>
      </c>
      <c r="AC131" s="43" t="str">
        <f t="shared" si="2"/>
        <v>大阪府八尾市</v>
      </c>
      <c r="AD131" s="32">
        <v>10.7</v>
      </c>
      <c r="AE131" s="34">
        <v>10.55</v>
      </c>
      <c r="AF131" s="51">
        <v>10.45</v>
      </c>
      <c r="AG131" s="1"/>
    </row>
    <row r="132" spans="22:33" ht="14.25" thickBot="1">
      <c r="V132" s="6" t="s">
        <v>380</v>
      </c>
      <c r="W132" s="4" t="s">
        <v>932</v>
      </c>
      <c r="X132" s="2"/>
      <c r="Y132" s="595" t="s">
        <v>838</v>
      </c>
      <c r="Z132" s="596">
        <v>0.1</v>
      </c>
      <c r="AA132" s="151" t="s">
        <v>605</v>
      </c>
      <c r="AB132" s="34" t="s">
        <v>933</v>
      </c>
      <c r="AC132" s="43" t="str">
        <f t="shared" ref="AC132:AC195" si="3">AA132&amp;AB132</f>
        <v>大阪府松原市</v>
      </c>
      <c r="AD132" s="32">
        <v>10.7</v>
      </c>
      <c r="AE132" s="34">
        <v>10.55</v>
      </c>
      <c r="AF132" s="51">
        <v>10.45</v>
      </c>
      <c r="AG132" s="1"/>
    </row>
    <row r="133" spans="22:33" ht="14.25" thickBot="1">
      <c r="V133" s="6" t="s">
        <v>380</v>
      </c>
      <c r="W133" s="4" t="s">
        <v>934</v>
      </c>
      <c r="X133" s="2"/>
      <c r="Y133" s="595" t="s">
        <v>838</v>
      </c>
      <c r="Z133" s="596">
        <v>0.1</v>
      </c>
      <c r="AA133" s="151" t="s">
        <v>605</v>
      </c>
      <c r="AB133" s="34" t="s">
        <v>935</v>
      </c>
      <c r="AC133" s="43" t="str">
        <f t="shared" si="3"/>
        <v>大阪府摂津市</v>
      </c>
      <c r="AD133" s="32">
        <v>10.7</v>
      </c>
      <c r="AE133" s="34">
        <v>10.55</v>
      </c>
      <c r="AF133" s="51">
        <v>10.45</v>
      </c>
      <c r="AG133" s="1"/>
    </row>
    <row r="134" spans="22:33" ht="14.25" thickBot="1">
      <c r="V134" s="6" t="s">
        <v>380</v>
      </c>
      <c r="W134" s="4" t="s">
        <v>936</v>
      </c>
      <c r="X134" s="2"/>
      <c r="Y134" s="595" t="s">
        <v>838</v>
      </c>
      <c r="Z134" s="596">
        <v>0.1</v>
      </c>
      <c r="AA134" s="151" t="s">
        <v>605</v>
      </c>
      <c r="AB134" s="34" t="s">
        <v>937</v>
      </c>
      <c r="AC134" s="43" t="str">
        <f t="shared" si="3"/>
        <v>大阪府高石市</v>
      </c>
      <c r="AD134" s="32">
        <v>10.7</v>
      </c>
      <c r="AE134" s="34">
        <v>10.55</v>
      </c>
      <c r="AF134" s="51">
        <v>10.45</v>
      </c>
      <c r="AG134" s="1"/>
    </row>
    <row r="135" spans="22:33" ht="14.25" thickBot="1">
      <c r="V135" s="6" t="s">
        <v>380</v>
      </c>
      <c r="W135" s="4" t="s">
        <v>938</v>
      </c>
      <c r="X135" s="2"/>
      <c r="Y135" s="595" t="s">
        <v>838</v>
      </c>
      <c r="Z135" s="596">
        <v>0.1</v>
      </c>
      <c r="AA135" s="151" t="s">
        <v>605</v>
      </c>
      <c r="AB135" s="34" t="s">
        <v>939</v>
      </c>
      <c r="AC135" s="43" t="str">
        <f t="shared" si="3"/>
        <v>大阪府東大阪市</v>
      </c>
      <c r="AD135" s="32">
        <v>10.7</v>
      </c>
      <c r="AE135" s="34">
        <v>10.55</v>
      </c>
      <c r="AF135" s="51">
        <v>10.45</v>
      </c>
      <c r="AG135" s="1"/>
    </row>
    <row r="136" spans="22:33" ht="14.25" thickBot="1">
      <c r="V136" s="6" t="s">
        <v>380</v>
      </c>
      <c r="W136" s="4" t="s">
        <v>940</v>
      </c>
      <c r="X136" s="2"/>
      <c r="Y136" s="595" t="s">
        <v>838</v>
      </c>
      <c r="Z136" s="596">
        <v>0.1</v>
      </c>
      <c r="AA136" s="151" t="s">
        <v>605</v>
      </c>
      <c r="AB136" s="34" t="s">
        <v>941</v>
      </c>
      <c r="AC136" s="43" t="str">
        <f t="shared" si="3"/>
        <v>大阪府交野市</v>
      </c>
      <c r="AD136" s="32">
        <v>10.7</v>
      </c>
      <c r="AE136" s="34">
        <v>10.55</v>
      </c>
      <c r="AF136" s="51">
        <v>10.45</v>
      </c>
      <c r="AG136" s="1"/>
    </row>
    <row r="137" spans="22:33" ht="14.25" thickBot="1">
      <c r="V137" s="6" t="s">
        <v>380</v>
      </c>
      <c r="W137" s="4" t="s">
        <v>942</v>
      </c>
      <c r="X137" s="2"/>
      <c r="Y137" s="595" t="s">
        <v>838</v>
      </c>
      <c r="Z137" s="596">
        <v>0.1</v>
      </c>
      <c r="AA137" s="151" t="s">
        <v>615</v>
      </c>
      <c r="AB137" s="34" t="s">
        <v>943</v>
      </c>
      <c r="AC137" s="43" t="str">
        <f t="shared" si="3"/>
        <v>兵庫県尼崎市</v>
      </c>
      <c r="AD137" s="32">
        <v>10.7</v>
      </c>
      <c r="AE137" s="34">
        <v>10.55</v>
      </c>
      <c r="AF137" s="51">
        <v>10.45</v>
      </c>
      <c r="AG137" s="1"/>
    </row>
    <row r="138" spans="22:33" ht="14.25" thickBot="1">
      <c r="V138" s="6" t="s">
        <v>380</v>
      </c>
      <c r="W138" s="4" t="s">
        <v>944</v>
      </c>
      <c r="X138" s="2"/>
      <c r="Y138" s="595" t="s">
        <v>838</v>
      </c>
      <c r="Z138" s="596">
        <v>0.1</v>
      </c>
      <c r="AA138" s="151" t="s">
        <v>615</v>
      </c>
      <c r="AB138" s="34" t="s">
        <v>945</v>
      </c>
      <c r="AC138" s="43" t="str">
        <f t="shared" si="3"/>
        <v>兵庫県伊丹市</v>
      </c>
      <c r="AD138" s="32">
        <v>10.7</v>
      </c>
      <c r="AE138" s="34">
        <v>10.55</v>
      </c>
      <c r="AF138" s="51">
        <v>10.45</v>
      </c>
      <c r="AG138" s="1"/>
    </row>
    <row r="139" spans="22:33" ht="14.25" thickBot="1">
      <c r="V139" s="6" t="s">
        <v>380</v>
      </c>
      <c r="W139" s="4" t="s">
        <v>946</v>
      </c>
      <c r="X139" s="2"/>
      <c r="Y139" s="595" t="s">
        <v>838</v>
      </c>
      <c r="Z139" s="596">
        <v>0.1</v>
      </c>
      <c r="AA139" s="151" t="s">
        <v>615</v>
      </c>
      <c r="AB139" s="34" t="s">
        <v>947</v>
      </c>
      <c r="AC139" s="43" t="str">
        <f t="shared" si="3"/>
        <v>兵庫県川西市</v>
      </c>
      <c r="AD139" s="32">
        <v>10.7</v>
      </c>
      <c r="AE139" s="34">
        <v>10.55</v>
      </c>
      <c r="AF139" s="51">
        <v>10.45</v>
      </c>
      <c r="AG139" s="1"/>
    </row>
    <row r="140" spans="22:33" ht="14.25" thickBot="1">
      <c r="V140" s="6" t="s">
        <v>380</v>
      </c>
      <c r="W140" s="4" t="s">
        <v>948</v>
      </c>
      <c r="X140" s="2"/>
      <c r="Y140" s="595" t="s">
        <v>838</v>
      </c>
      <c r="Z140" s="596">
        <v>0.1</v>
      </c>
      <c r="AA140" s="151" t="s">
        <v>615</v>
      </c>
      <c r="AB140" s="34" t="s">
        <v>949</v>
      </c>
      <c r="AC140" s="43" t="str">
        <f t="shared" si="3"/>
        <v>兵庫県三田市</v>
      </c>
      <c r="AD140" s="32">
        <v>10.7</v>
      </c>
      <c r="AE140" s="34">
        <v>10.55</v>
      </c>
      <c r="AF140" s="51">
        <v>10.45</v>
      </c>
      <c r="AG140" s="1"/>
    </row>
    <row r="141" spans="22:33" ht="14.25" thickBot="1">
      <c r="V141" s="6" t="s">
        <v>380</v>
      </c>
      <c r="W141" s="4" t="s">
        <v>950</v>
      </c>
      <c r="X141" s="2"/>
      <c r="Y141" s="595" t="s">
        <v>838</v>
      </c>
      <c r="Z141" s="596">
        <v>0.1</v>
      </c>
      <c r="AA141" s="151" t="s">
        <v>668</v>
      </c>
      <c r="AB141" s="34" t="s">
        <v>951</v>
      </c>
      <c r="AC141" s="43" t="str">
        <f t="shared" si="3"/>
        <v>広島県広島市</v>
      </c>
      <c r="AD141" s="32">
        <v>10.7</v>
      </c>
      <c r="AE141" s="34">
        <v>10.55</v>
      </c>
      <c r="AF141" s="51">
        <v>10.45</v>
      </c>
      <c r="AG141" s="1"/>
    </row>
    <row r="142" spans="22:33" ht="14.25" thickBot="1">
      <c r="V142" s="6" t="s">
        <v>380</v>
      </c>
      <c r="W142" s="4" t="s">
        <v>952</v>
      </c>
      <c r="X142" s="2"/>
      <c r="Y142" s="595" t="s">
        <v>838</v>
      </c>
      <c r="Z142" s="596">
        <v>0.1</v>
      </c>
      <c r="AA142" s="151" t="s">
        <v>668</v>
      </c>
      <c r="AB142" s="34" t="s">
        <v>953</v>
      </c>
      <c r="AC142" s="43" t="str">
        <f t="shared" si="3"/>
        <v>広島県府中町</v>
      </c>
      <c r="AD142" s="32">
        <v>10.7</v>
      </c>
      <c r="AE142" s="34">
        <v>10.55</v>
      </c>
      <c r="AF142" s="51">
        <v>10.45</v>
      </c>
      <c r="AG142" s="1"/>
    </row>
    <row r="143" spans="22:33" ht="14.25" thickBot="1">
      <c r="V143" s="6" t="s">
        <v>380</v>
      </c>
      <c r="W143" s="4" t="s">
        <v>954</v>
      </c>
      <c r="X143" s="2"/>
      <c r="Y143" s="595" t="s">
        <v>838</v>
      </c>
      <c r="Z143" s="596">
        <v>0.1</v>
      </c>
      <c r="AA143" s="151" t="s">
        <v>709</v>
      </c>
      <c r="AB143" s="34" t="s">
        <v>955</v>
      </c>
      <c r="AC143" s="43" t="str">
        <f t="shared" si="3"/>
        <v>福岡県福岡市</v>
      </c>
      <c r="AD143" s="32">
        <v>10.7</v>
      </c>
      <c r="AE143" s="34">
        <v>10.55</v>
      </c>
      <c r="AF143" s="51">
        <v>10.45</v>
      </c>
      <c r="AG143" s="1"/>
    </row>
    <row r="144" spans="22:33" ht="14.25" thickBot="1">
      <c r="V144" s="6" t="s">
        <v>380</v>
      </c>
      <c r="W144" s="4" t="s">
        <v>956</v>
      </c>
      <c r="X144" s="2"/>
      <c r="Y144" s="597" t="s">
        <v>838</v>
      </c>
      <c r="Z144" s="598">
        <v>0.1</v>
      </c>
      <c r="AA144" s="152" t="s">
        <v>709</v>
      </c>
      <c r="AB144" s="37" t="s">
        <v>957</v>
      </c>
      <c r="AC144" s="57" t="str">
        <f t="shared" si="3"/>
        <v>福岡県春日市</v>
      </c>
      <c r="AD144" s="36">
        <v>10.7</v>
      </c>
      <c r="AE144" s="37">
        <v>10.55</v>
      </c>
      <c r="AF144" s="69">
        <v>10.45</v>
      </c>
      <c r="AG144" s="1"/>
    </row>
    <row r="145" spans="22:33" ht="14.25" thickBot="1">
      <c r="V145" s="6" t="s">
        <v>380</v>
      </c>
      <c r="W145" s="4" t="s">
        <v>958</v>
      </c>
      <c r="X145" s="2"/>
      <c r="Y145" s="599" t="s">
        <v>959</v>
      </c>
      <c r="Z145" s="600">
        <v>0.06</v>
      </c>
      <c r="AA145" s="153" t="s">
        <v>415</v>
      </c>
      <c r="AB145" s="35" t="s">
        <v>960</v>
      </c>
      <c r="AC145" s="53" t="str">
        <f t="shared" si="3"/>
        <v>宮城県仙台市</v>
      </c>
      <c r="AD145" s="31">
        <v>10.42</v>
      </c>
      <c r="AE145" s="35">
        <v>10.33</v>
      </c>
      <c r="AF145" s="53">
        <v>10.27</v>
      </c>
      <c r="AG145" s="1"/>
    </row>
    <row r="146" spans="22:33" ht="14.25" thickBot="1">
      <c r="V146" s="6" t="s">
        <v>380</v>
      </c>
      <c r="W146" s="4" t="s">
        <v>961</v>
      </c>
      <c r="X146" s="2"/>
      <c r="Y146" s="595" t="s">
        <v>959</v>
      </c>
      <c r="Z146" s="596">
        <v>0.06</v>
      </c>
      <c r="AA146" s="151" t="s">
        <v>415</v>
      </c>
      <c r="AB146" s="34" t="s">
        <v>962</v>
      </c>
      <c r="AC146" s="51" t="str">
        <f t="shared" si="3"/>
        <v>宮城県多賀城市</v>
      </c>
      <c r="AD146" s="32">
        <v>10.42</v>
      </c>
      <c r="AE146" s="34">
        <v>10.33</v>
      </c>
      <c r="AF146" s="51">
        <v>10.27</v>
      </c>
      <c r="AG146" s="1"/>
    </row>
    <row r="147" spans="22:33" ht="14.25" thickBot="1">
      <c r="V147" s="6" t="s">
        <v>380</v>
      </c>
      <c r="W147" s="4" t="s">
        <v>963</v>
      </c>
      <c r="X147" s="2"/>
      <c r="Y147" s="595" t="s">
        <v>959</v>
      </c>
      <c r="Z147" s="596">
        <v>0.06</v>
      </c>
      <c r="AA147" s="151" t="s">
        <v>448</v>
      </c>
      <c r="AB147" s="34" t="s">
        <v>964</v>
      </c>
      <c r="AC147" s="51" t="str">
        <f t="shared" si="3"/>
        <v>茨城県土浦市</v>
      </c>
      <c r="AD147" s="32">
        <v>10.42</v>
      </c>
      <c r="AE147" s="34">
        <v>10.33</v>
      </c>
      <c r="AF147" s="51">
        <v>10.27</v>
      </c>
      <c r="AG147" s="1"/>
    </row>
    <row r="148" spans="22:33" ht="14.25" thickBot="1">
      <c r="V148" s="6" t="s">
        <v>380</v>
      </c>
      <c r="W148" s="4" t="s">
        <v>965</v>
      </c>
      <c r="X148" s="2"/>
      <c r="Y148" s="595" t="s">
        <v>959</v>
      </c>
      <c r="Z148" s="596">
        <v>0.06</v>
      </c>
      <c r="AA148" s="151" t="s">
        <v>448</v>
      </c>
      <c r="AB148" s="34" t="s">
        <v>966</v>
      </c>
      <c r="AC148" s="51" t="str">
        <f t="shared" si="3"/>
        <v>茨城県古河市</v>
      </c>
      <c r="AD148" s="32">
        <v>10.42</v>
      </c>
      <c r="AE148" s="34">
        <v>10.33</v>
      </c>
      <c r="AF148" s="51">
        <v>10.27</v>
      </c>
      <c r="AG148" s="1"/>
    </row>
    <row r="149" spans="22:33" ht="14.25" thickBot="1">
      <c r="V149" s="6" t="s">
        <v>380</v>
      </c>
      <c r="W149" s="4" t="s">
        <v>967</v>
      </c>
      <c r="X149" s="2"/>
      <c r="Y149" s="595" t="s">
        <v>959</v>
      </c>
      <c r="Z149" s="596">
        <v>0.06</v>
      </c>
      <c r="AA149" s="151" t="s">
        <v>448</v>
      </c>
      <c r="AB149" s="34" t="s">
        <v>968</v>
      </c>
      <c r="AC149" s="51" t="str">
        <f t="shared" si="3"/>
        <v>茨城県利根町</v>
      </c>
      <c r="AD149" s="32">
        <v>10.42</v>
      </c>
      <c r="AE149" s="34">
        <v>10.33</v>
      </c>
      <c r="AF149" s="51">
        <v>10.27</v>
      </c>
      <c r="AG149" s="1"/>
    </row>
    <row r="150" spans="22:33" ht="14.25" thickBot="1">
      <c r="V150" s="6" t="s">
        <v>380</v>
      </c>
      <c r="W150" s="4" t="s">
        <v>969</v>
      </c>
      <c r="X150" s="2"/>
      <c r="Y150" s="595" t="s">
        <v>959</v>
      </c>
      <c r="Z150" s="596">
        <v>0.06</v>
      </c>
      <c r="AA150" s="151" t="s">
        <v>456</v>
      </c>
      <c r="AB150" s="34" t="s">
        <v>970</v>
      </c>
      <c r="AC150" s="51" t="str">
        <f t="shared" si="3"/>
        <v>栃木県宇都宮市</v>
      </c>
      <c r="AD150" s="32">
        <v>10.42</v>
      </c>
      <c r="AE150" s="34">
        <v>10.33</v>
      </c>
      <c r="AF150" s="51">
        <v>10.27</v>
      </c>
      <c r="AG150" s="1"/>
    </row>
    <row r="151" spans="22:33" ht="14.25" thickBot="1">
      <c r="V151" s="6" t="s">
        <v>380</v>
      </c>
      <c r="W151" s="4" t="s">
        <v>971</v>
      </c>
      <c r="X151" s="2"/>
      <c r="Y151" s="595" t="s">
        <v>959</v>
      </c>
      <c r="Z151" s="596">
        <v>0.06</v>
      </c>
      <c r="AA151" s="151" t="s">
        <v>456</v>
      </c>
      <c r="AB151" s="34" t="s">
        <v>972</v>
      </c>
      <c r="AC151" s="51" t="str">
        <f t="shared" si="3"/>
        <v>栃木県野木町</v>
      </c>
      <c r="AD151" s="32">
        <v>10.42</v>
      </c>
      <c r="AE151" s="34">
        <v>10.33</v>
      </c>
      <c r="AF151" s="51">
        <v>10.27</v>
      </c>
      <c r="AG151" s="1"/>
    </row>
    <row r="152" spans="22:33" ht="14.25" thickBot="1">
      <c r="V152" s="6" t="s">
        <v>380</v>
      </c>
      <c r="W152" s="4" t="s">
        <v>973</v>
      </c>
      <c r="X152" s="2"/>
      <c r="Y152" s="595" t="s">
        <v>959</v>
      </c>
      <c r="Z152" s="596">
        <v>0.06</v>
      </c>
      <c r="AA152" s="151" t="s">
        <v>463</v>
      </c>
      <c r="AB152" s="34" t="s">
        <v>974</v>
      </c>
      <c r="AC152" s="51" t="str">
        <f t="shared" si="3"/>
        <v>群馬県高崎市</v>
      </c>
      <c r="AD152" s="32">
        <v>10.42</v>
      </c>
      <c r="AE152" s="34">
        <v>10.33</v>
      </c>
      <c r="AF152" s="51">
        <v>10.27</v>
      </c>
      <c r="AG152" s="1"/>
    </row>
    <row r="153" spans="22:33" ht="14.25" thickBot="1">
      <c r="V153" s="6" t="s">
        <v>380</v>
      </c>
      <c r="W153" s="4" t="s">
        <v>975</v>
      </c>
      <c r="X153" s="2"/>
      <c r="Y153" s="595" t="s">
        <v>959</v>
      </c>
      <c r="Z153" s="596">
        <v>0.06</v>
      </c>
      <c r="AA153" s="151" t="s">
        <v>474</v>
      </c>
      <c r="AB153" s="34" t="s">
        <v>976</v>
      </c>
      <c r="AC153" s="51" t="str">
        <f t="shared" si="3"/>
        <v>埼玉県川越市</v>
      </c>
      <c r="AD153" s="32">
        <v>10.42</v>
      </c>
      <c r="AE153" s="34">
        <v>10.33</v>
      </c>
      <c r="AF153" s="51">
        <v>10.27</v>
      </c>
      <c r="AG153" s="1"/>
    </row>
    <row r="154" spans="22:33" ht="14.25" thickBot="1">
      <c r="V154" s="6" t="s">
        <v>380</v>
      </c>
      <c r="W154" s="4" t="s">
        <v>977</v>
      </c>
      <c r="X154" s="2"/>
      <c r="Y154" s="595" t="s">
        <v>959</v>
      </c>
      <c r="Z154" s="596">
        <v>0.06</v>
      </c>
      <c r="AA154" s="151" t="s">
        <v>474</v>
      </c>
      <c r="AB154" s="34" t="s">
        <v>978</v>
      </c>
      <c r="AC154" s="51" t="str">
        <f t="shared" si="3"/>
        <v>埼玉県行田市</v>
      </c>
      <c r="AD154" s="32">
        <v>10.42</v>
      </c>
      <c r="AE154" s="34">
        <v>10.33</v>
      </c>
      <c r="AF154" s="51">
        <v>10.27</v>
      </c>
      <c r="AG154" s="1"/>
    </row>
    <row r="155" spans="22:33" ht="14.25" thickBot="1">
      <c r="V155" s="6" t="s">
        <v>380</v>
      </c>
      <c r="W155" s="4" t="s">
        <v>979</v>
      </c>
      <c r="X155" s="2"/>
      <c r="Y155" s="595" t="s">
        <v>959</v>
      </c>
      <c r="Z155" s="596">
        <v>0.06</v>
      </c>
      <c r="AA155" s="151" t="s">
        <v>474</v>
      </c>
      <c r="AB155" s="34" t="s">
        <v>980</v>
      </c>
      <c r="AC155" s="51" t="str">
        <f t="shared" si="3"/>
        <v>埼玉県所沢市</v>
      </c>
      <c r="AD155" s="32">
        <v>10.42</v>
      </c>
      <c r="AE155" s="34">
        <v>10.33</v>
      </c>
      <c r="AF155" s="51">
        <v>10.27</v>
      </c>
      <c r="AG155" s="1"/>
    </row>
    <row r="156" spans="22:33" ht="14.25" thickBot="1">
      <c r="V156" s="6" t="s">
        <v>380</v>
      </c>
      <c r="W156" s="4" t="s">
        <v>981</v>
      </c>
      <c r="X156" s="2"/>
      <c r="Y156" s="595" t="s">
        <v>959</v>
      </c>
      <c r="Z156" s="596">
        <v>0.06</v>
      </c>
      <c r="AA156" s="151" t="s">
        <v>474</v>
      </c>
      <c r="AB156" s="34" t="s">
        <v>982</v>
      </c>
      <c r="AC156" s="51" t="str">
        <f t="shared" si="3"/>
        <v>埼玉県飯能市</v>
      </c>
      <c r="AD156" s="32">
        <v>10.42</v>
      </c>
      <c r="AE156" s="34">
        <v>10.33</v>
      </c>
      <c r="AF156" s="51">
        <v>10.27</v>
      </c>
      <c r="AG156" s="1"/>
    </row>
    <row r="157" spans="22:33" ht="14.25" thickBot="1">
      <c r="V157" s="6" t="s">
        <v>380</v>
      </c>
      <c r="W157" s="4" t="s">
        <v>983</v>
      </c>
      <c r="X157" s="2"/>
      <c r="Y157" s="595" t="s">
        <v>959</v>
      </c>
      <c r="Z157" s="596">
        <v>0.06</v>
      </c>
      <c r="AA157" s="151" t="s">
        <v>474</v>
      </c>
      <c r="AB157" s="34" t="s">
        <v>984</v>
      </c>
      <c r="AC157" s="51" t="str">
        <f t="shared" si="3"/>
        <v>埼玉県加須市</v>
      </c>
      <c r="AD157" s="32">
        <v>10.42</v>
      </c>
      <c r="AE157" s="34">
        <v>10.33</v>
      </c>
      <c r="AF157" s="51">
        <v>10.27</v>
      </c>
      <c r="AG157" s="1"/>
    </row>
    <row r="158" spans="22:33" ht="14.25" thickBot="1">
      <c r="V158" s="6" t="s">
        <v>380</v>
      </c>
      <c r="W158" s="4" t="s">
        <v>985</v>
      </c>
      <c r="X158" s="2"/>
      <c r="Y158" s="595" t="s">
        <v>959</v>
      </c>
      <c r="Z158" s="596">
        <v>0.06</v>
      </c>
      <c r="AA158" s="151" t="s">
        <v>474</v>
      </c>
      <c r="AB158" s="34" t="s">
        <v>986</v>
      </c>
      <c r="AC158" s="51" t="str">
        <f t="shared" si="3"/>
        <v>埼玉県東松山市</v>
      </c>
      <c r="AD158" s="32">
        <v>10.42</v>
      </c>
      <c r="AE158" s="34">
        <v>10.33</v>
      </c>
      <c r="AF158" s="51">
        <v>10.27</v>
      </c>
      <c r="AG158" s="1"/>
    </row>
    <row r="159" spans="22:33" ht="14.25" thickBot="1">
      <c r="V159" s="6" t="s">
        <v>380</v>
      </c>
      <c r="W159" s="4" t="s">
        <v>987</v>
      </c>
      <c r="X159" s="2"/>
      <c r="Y159" s="595" t="s">
        <v>959</v>
      </c>
      <c r="Z159" s="596">
        <v>0.06</v>
      </c>
      <c r="AA159" s="151" t="s">
        <v>474</v>
      </c>
      <c r="AB159" s="34" t="s">
        <v>988</v>
      </c>
      <c r="AC159" s="51" t="str">
        <f t="shared" si="3"/>
        <v>埼玉県春日部市</v>
      </c>
      <c r="AD159" s="32">
        <v>10.42</v>
      </c>
      <c r="AE159" s="34">
        <v>10.33</v>
      </c>
      <c r="AF159" s="51">
        <v>10.27</v>
      </c>
      <c r="AG159" s="1"/>
    </row>
    <row r="160" spans="22:33" ht="14.25" thickBot="1">
      <c r="V160" s="6" t="s">
        <v>380</v>
      </c>
      <c r="W160" s="4" t="s">
        <v>989</v>
      </c>
      <c r="X160" s="2"/>
      <c r="Y160" s="595" t="s">
        <v>959</v>
      </c>
      <c r="Z160" s="596">
        <v>0.06</v>
      </c>
      <c r="AA160" s="151" t="s">
        <v>474</v>
      </c>
      <c r="AB160" s="34" t="s">
        <v>990</v>
      </c>
      <c r="AC160" s="51" t="str">
        <f t="shared" si="3"/>
        <v>埼玉県狭山市</v>
      </c>
      <c r="AD160" s="32">
        <v>10.42</v>
      </c>
      <c r="AE160" s="34">
        <v>10.33</v>
      </c>
      <c r="AF160" s="51">
        <v>10.27</v>
      </c>
      <c r="AG160" s="1"/>
    </row>
    <row r="161" spans="22:33" ht="14.25" thickBot="1">
      <c r="V161" s="6" t="s">
        <v>380</v>
      </c>
      <c r="W161" s="4" t="s">
        <v>991</v>
      </c>
      <c r="X161" s="2"/>
      <c r="Y161" s="595" t="s">
        <v>959</v>
      </c>
      <c r="Z161" s="596">
        <v>0.06</v>
      </c>
      <c r="AA161" s="151" t="s">
        <v>474</v>
      </c>
      <c r="AB161" s="34" t="s">
        <v>992</v>
      </c>
      <c r="AC161" s="51" t="str">
        <f t="shared" si="3"/>
        <v>埼玉県羽生市</v>
      </c>
      <c r="AD161" s="32">
        <v>10.42</v>
      </c>
      <c r="AE161" s="34">
        <v>10.33</v>
      </c>
      <c r="AF161" s="51">
        <v>10.27</v>
      </c>
      <c r="AG161" s="1"/>
    </row>
    <row r="162" spans="22:33" ht="14.25" thickBot="1">
      <c r="V162" s="6" t="s">
        <v>380</v>
      </c>
      <c r="W162" s="4" t="s">
        <v>993</v>
      </c>
      <c r="X162" s="2"/>
      <c r="Y162" s="595" t="s">
        <v>959</v>
      </c>
      <c r="Z162" s="596">
        <v>0.06</v>
      </c>
      <c r="AA162" s="151" t="s">
        <v>474</v>
      </c>
      <c r="AB162" s="34" t="s">
        <v>994</v>
      </c>
      <c r="AC162" s="51" t="str">
        <f t="shared" si="3"/>
        <v>埼玉県鴻巣市</v>
      </c>
      <c r="AD162" s="32">
        <v>10.42</v>
      </c>
      <c r="AE162" s="34">
        <v>10.33</v>
      </c>
      <c r="AF162" s="51">
        <v>10.27</v>
      </c>
      <c r="AG162" s="1"/>
    </row>
    <row r="163" spans="22:33" ht="14.25" thickBot="1">
      <c r="V163" s="6" t="s">
        <v>380</v>
      </c>
      <c r="W163" s="4" t="s">
        <v>995</v>
      </c>
      <c r="X163" s="2"/>
      <c r="Y163" s="595" t="s">
        <v>959</v>
      </c>
      <c r="Z163" s="596">
        <v>0.06</v>
      </c>
      <c r="AA163" s="151" t="s">
        <v>474</v>
      </c>
      <c r="AB163" s="34" t="s">
        <v>996</v>
      </c>
      <c r="AC163" s="51" t="str">
        <f t="shared" si="3"/>
        <v>埼玉県上尾市</v>
      </c>
      <c r="AD163" s="32">
        <v>10.42</v>
      </c>
      <c r="AE163" s="34">
        <v>10.33</v>
      </c>
      <c r="AF163" s="51">
        <v>10.27</v>
      </c>
      <c r="AG163" s="1"/>
    </row>
    <row r="164" spans="22:33" ht="14.25" thickBot="1">
      <c r="V164" s="6" t="s">
        <v>380</v>
      </c>
      <c r="W164" s="4" t="s">
        <v>997</v>
      </c>
      <c r="X164" s="2"/>
      <c r="Y164" s="595" t="s">
        <v>959</v>
      </c>
      <c r="Z164" s="596">
        <v>0.06</v>
      </c>
      <c r="AA164" s="151" t="s">
        <v>474</v>
      </c>
      <c r="AB164" s="34" t="s">
        <v>998</v>
      </c>
      <c r="AC164" s="51" t="str">
        <f t="shared" si="3"/>
        <v>埼玉県越谷市</v>
      </c>
      <c r="AD164" s="32">
        <v>10.42</v>
      </c>
      <c r="AE164" s="34">
        <v>10.33</v>
      </c>
      <c r="AF164" s="51">
        <v>10.27</v>
      </c>
      <c r="AG164" s="1"/>
    </row>
    <row r="165" spans="22:33" ht="14.25" thickBot="1">
      <c r="V165" s="6" t="s">
        <v>380</v>
      </c>
      <c r="W165" s="4" t="s">
        <v>999</v>
      </c>
      <c r="X165" s="2"/>
      <c r="Y165" s="595" t="s">
        <v>959</v>
      </c>
      <c r="Z165" s="596">
        <v>0.06</v>
      </c>
      <c r="AA165" s="151" t="s">
        <v>474</v>
      </c>
      <c r="AB165" s="34" t="s">
        <v>1000</v>
      </c>
      <c r="AC165" s="51" t="str">
        <f t="shared" si="3"/>
        <v>埼玉県蕨市</v>
      </c>
      <c r="AD165" s="32">
        <v>10.42</v>
      </c>
      <c r="AE165" s="34">
        <v>10.33</v>
      </c>
      <c r="AF165" s="51">
        <v>10.27</v>
      </c>
      <c r="AG165" s="1"/>
    </row>
    <row r="166" spans="22:33" ht="14.25" thickBot="1">
      <c r="V166" s="6" t="s">
        <v>380</v>
      </c>
      <c r="W166" s="4" t="s">
        <v>1001</v>
      </c>
      <c r="X166" s="2"/>
      <c r="Y166" s="595" t="s">
        <v>959</v>
      </c>
      <c r="Z166" s="596">
        <v>0.06</v>
      </c>
      <c r="AA166" s="151" t="s">
        <v>474</v>
      </c>
      <c r="AB166" s="34" t="s">
        <v>1002</v>
      </c>
      <c r="AC166" s="51" t="str">
        <f t="shared" si="3"/>
        <v>埼玉県入間市</v>
      </c>
      <c r="AD166" s="32">
        <v>10.42</v>
      </c>
      <c r="AE166" s="34">
        <v>10.33</v>
      </c>
      <c r="AF166" s="51">
        <v>10.27</v>
      </c>
      <c r="AG166" s="1"/>
    </row>
    <row r="167" spans="22:33" ht="14.25" thickBot="1">
      <c r="V167" s="6" t="s">
        <v>380</v>
      </c>
      <c r="W167" s="4" t="s">
        <v>1003</v>
      </c>
      <c r="X167" s="2"/>
      <c r="Y167" s="595" t="s">
        <v>959</v>
      </c>
      <c r="Z167" s="596">
        <v>0.06</v>
      </c>
      <c r="AA167" s="151" t="s">
        <v>474</v>
      </c>
      <c r="AB167" s="34" t="s">
        <v>1004</v>
      </c>
      <c r="AC167" s="51" t="str">
        <f t="shared" si="3"/>
        <v>埼玉県桶川市</v>
      </c>
      <c r="AD167" s="32">
        <v>10.42</v>
      </c>
      <c r="AE167" s="34">
        <v>10.33</v>
      </c>
      <c r="AF167" s="51">
        <v>10.27</v>
      </c>
      <c r="AG167" s="1"/>
    </row>
    <row r="168" spans="22:33" ht="14.25" thickBot="1">
      <c r="V168" s="6" t="s">
        <v>380</v>
      </c>
      <c r="W168" s="4" t="s">
        <v>1005</v>
      </c>
      <c r="X168" s="2"/>
      <c r="Y168" s="595" t="s">
        <v>959</v>
      </c>
      <c r="Z168" s="596">
        <v>0.06</v>
      </c>
      <c r="AA168" s="151" t="s">
        <v>474</v>
      </c>
      <c r="AB168" s="34" t="s">
        <v>1006</v>
      </c>
      <c r="AC168" s="51" t="str">
        <f t="shared" si="3"/>
        <v>埼玉県久喜市</v>
      </c>
      <c r="AD168" s="32">
        <v>10.42</v>
      </c>
      <c r="AE168" s="34">
        <v>10.33</v>
      </c>
      <c r="AF168" s="51">
        <v>10.27</v>
      </c>
      <c r="AG168" s="1"/>
    </row>
    <row r="169" spans="22:33" ht="14.25" thickBot="1">
      <c r="V169" s="6" t="s">
        <v>380</v>
      </c>
      <c r="W169" s="4" t="s">
        <v>1007</v>
      </c>
      <c r="X169" s="2"/>
      <c r="Y169" s="595" t="s">
        <v>959</v>
      </c>
      <c r="Z169" s="596">
        <v>0.06</v>
      </c>
      <c r="AA169" s="151" t="s">
        <v>474</v>
      </c>
      <c r="AB169" s="34" t="s">
        <v>1008</v>
      </c>
      <c r="AC169" s="51" t="str">
        <f t="shared" si="3"/>
        <v>埼玉県北本市</v>
      </c>
      <c r="AD169" s="32">
        <v>10.42</v>
      </c>
      <c r="AE169" s="34">
        <v>10.33</v>
      </c>
      <c r="AF169" s="51">
        <v>10.27</v>
      </c>
      <c r="AG169" s="1"/>
    </row>
    <row r="170" spans="22:33" ht="14.25" thickBot="1">
      <c r="V170" s="6" t="s">
        <v>380</v>
      </c>
      <c r="W170" s="4" t="s">
        <v>1009</v>
      </c>
      <c r="X170" s="2"/>
      <c r="Y170" s="595" t="s">
        <v>959</v>
      </c>
      <c r="Z170" s="596">
        <v>0.06</v>
      </c>
      <c r="AA170" s="151" t="s">
        <v>474</v>
      </c>
      <c r="AB170" s="34" t="s">
        <v>1010</v>
      </c>
      <c r="AC170" s="51" t="str">
        <f t="shared" si="3"/>
        <v>埼玉県富士見市</v>
      </c>
      <c r="AD170" s="32">
        <v>10.42</v>
      </c>
      <c r="AE170" s="34">
        <v>10.33</v>
      </c>
      <c r="AF170" s="51">
        <v>10.27</v>
      </c>
      <c r="AG170" s="1"/>
    </row>
    <row r="171" spans="22:33" ht="14.25" thickBot="1">
      <c r="V171" s="6" t="s">
        <v>380</v>
      </c>
      <c r="W171" s="4" t="s">
        <v>1011</v>
      </c>
      <c r="X171" s="2"/>
      <c r="Y171" s="595" t="s">
        <v>959</v>
      </c>
      <c r="Z171" s="596">
        <v>0.06</v>
      </c>
      <c r="AA171" s="151" t="s">
        <v>474</v>
      </c>
      <c r="AB171" s="34" t="s">
        <v>1012</v>
      </c>
      <c r="AC171" s="51" t="str">
        <f t="shared" si="3"/>
        <v>埼玉県三郷市</v>
      </c>
      <c r="AD171" s="32">
        <v>10.42</v>
      </c>
      <c r="AE171" s="34">
        <v>10.33</v>
      </c>
      <c r="AF171" s="51">
        <v>10.27</v>
      </c>
      <c r="AG171" s="1"/>
    </row>
    <row r="172" spans="22:33" ht="14.25" thickBot="1">
      <c r="V172" s="6" t="s">
        <v>380</v>
      </c>
      <c r="W172" s="4" t="s">
        <v>1013</v>
      </c>
      <c r="X172" s="2"/>
      <c r="Y172" s="595" t="s">
        <v>959</v>
      </c>
      <c r="Z172" s="596">
        <v>0.06</v>
      </c>
      <c r="AA172" s="151" t="s">
        <v>474</v>
      </c>
      <c r="AB172" s="34" t="s">
        <v>1014</v>
      </c>
      <c r="AC172" s="51" t="str">
        <f t="shared" si="3"/>
        <v>埼玉県蓮田市</v>
      </c>
      <c r="AD172" s="32">
        <v>10.42</v>
      </c>
      <c r="AE172" s="34">
        <v>10.33</v>
      </c>
      <c r="AF172" s="51">
        <v>10.27</v>
      </c>
      <c r="AG172" s="1"/>
    </row>
    <row r="173" spans="22:33" ht="14.25" thickBot="1">
      <c r="V173" s="6" t="s">
        <v>380</v>
      </c>
      <c r="W173" s="4" t="s">
        <v>1015</v>
      </c>
      <c r="X173" s="2"/>
      <c r="Y173" s="595" t="s">
        <v>959</v>
      </c>
      <c r="Z173" s="596">
        <v>0.06</v>
      </c>
      <c r="AA173" s="151" t="s">
        <v>474</v>
      </c>
      <c r="AB173" s="34" t="s">
        <v>1016</v>
      </c>
      <c r="AC173" s="51" t="str">
        <f t="shared" si="3"/>
        <v>埼玉県坂戸市</v>
      </c>
      <c r="AD173" s="32">
        <v>10.42</v>
      </c>
      <c r="AE173" s="34">
        <v>10.33</v>
      </c>
      <c r="AF173" s="51">
        <v>10.27</v>
      </c>
      <c r="AG173" s="1"/>
    </row>
    <row r="174" spans="22:33" ht="14.25" thickBot="1">
      <c r="V174" s="6" t="s">
        <v>380</v>
      </c>
      <c r="W174" s="4" t="s">
        <v>1017</v>
      </c>
      <c r="X174" s="2"/>
      <c r="Y174" s="595" t="s">
        <v>959</v>
      </c>
      <c r="Z174" s="596">
        <v>0.06</v>
      </c>
      <c r="AA174" s="151" t="s">
        <v>474</v>
      </c>
      <c r="AB174" s="34" t="s">
        <v>1018</v>
      </c>
      <c r="AC174" s="51" t="str">
        <f t="shared" si="3"/>
        <v>埼玉県幸手市</v>
      </c>
      <c r="AD174" s="32">
        <v>10.42</v>
      </c>
      <c r="AE174" s="34">
        <v>10.33</v>
      </c>
      <c r="AF174" s="51">
        <v>10.27</v>
      </c>
      <c r="AG174" s="1"/>
    </row>
    <row r="175" spans="22:33" ht="14.25" thickBot="1">
      <c r="V175" s="6" t="s">
        <v>380</v>
      </c>
      <c r="W175" s="4" t="s">
        <v>1019</v>
      </c>
      <c r="X175" s="2"/>
      <c r="Y175" s="595" t="s">
        <v>959</v>
      </c>
      <c r="Z175" s="596">
        <v>0.06</v>
      </c>
      <c r="AA175" s="151" t="s">
        <v>474</v>
      </c>
      <c r="AB175" s="34" t="s">
        <v>1020</v>
      </c>
      <c r="AC175" s="51" t="str">
        <f t="shared" si="3"/>
        <v>埼玉県鶴ヶ島市</v>
      </c>
      <c r="AD175" s="32">
        <v>10.42</v>
      </c>
      <c r="AE175" s="34">
        <v>10.33</v>
      </c>
      <c r="AF175" s="51">
        <v>10.27</v>
      </c>
      <c r="AG175" s="1"/>
    </row>
    <row r="176" spans="22:33" ht="14.25" thickBot="1">
      <c r="V176" s="6" t="s">
        <v>380</v>
      </c>
      <c r="W176" s="4" t="s">
        <v>1021</v>
      </c>
      <c r="X176" s="2"/>
      <c r="Y176" s="595" t="s">
        <v>959</v>
      </c>
      <c r="Z176" s="596">
        <v>0.06</v>
      </c>
      <c r="AA176" s="151" t="s">
        <v>474</v>
      </c>
      <c r="AB176" s="34" t="s">
        <v>1022</v>
      </c>
      <c r="AC176" s="51" t="str">
        <f t="shared" si="3"/>
        <v>埼玉県吉川市</v>
      </c>
      <c r="AD176" s="32">
        <v>10.42</v>
      </c>
      <c r="AE176" s="34">
        <v>10.33</v>
      </c>
      <c r="AF176" s="51">
        <v>10.27</v>
      </c>
      <c r="AG176" s="1"/>
    </row>
    <row r="177" spans="22:33" ht="14.25" thickBot="1">
      <c r="V177" s="6" t="s">
        <v>380</v>
      </c>
      <c r="W177" s="4" t="s">
        <v>1023</v>
      </c>
      <c r="X177" s="2"/>
      <c r="Y177" s="595" t="s">
        <v>959</v>
      </c>
      <c r="Z177" s="596">
        <v>0.06</v>
      </c>
      <c r="AA177" s="151" t="s">
        <v>474</v>
      </c>
      <c r="AB177" s="34" t="s">
        <v>1024</v>
      </c>
      <c r="AC177" s="51" t="str">
        <f t="shared" si="3"/>
        <v>埼玉県白岡市</v>
      </c>
      <c r="AD177" s="32">
        <v>10.42</v>
      </c>
      <c r="AE177" s="34">
        <v>10.33</v>
      </c>
      <c r="AF177" s="51">
        <v>10.27</v>
      </c>
      <c r="AG177" s="1"/>
    </row>
    <row r="178" spans="22:33" ht="14.25" thickBot="1">
      <c r="V178" s="6" t="s">
        <v>380</v>
      </c>
      <c r="W178" s="4" t="s">
        <v>1025</v>
      </c>
      <c r="X178" s="2"/>
      <c r="Y178" s="595" t="s">
        <v>959</v>
      </c>
      <c r="Z178" s="596">
        <v>0.06</v>
      </c>
      <c r="AA178" s="151" t="s">
        <v>474</v>
      </c>
      <c r="AB178" s="34" t="s">
        <v>1026</v>
      </c>
      <c r="AC178" s="51" t="str">
        <f t="shared" si="3"/>
        <v>埼玉県伊奈町</v>
      </c>
      <c r="AD178" s="32">
        <v>10.42</v>
      </c>
      <c r="AE178" s="34">
        <v>10.33</v>
      </c>
      <c r="AF178" s="51">
        <v>10.27</v>
      </c>
      <c r="AG178" s="1"/>
    </row>
    <row r="179" spans="22:33" ht="14.25" thickBot="1">
      <c r="V179" s="6" t="s">
        <v>380</v>
      </c>
      <c r="W179" s="4" t="s">
        <v>1027</v>
      </c>
      <c r="X179" s="2"/>
      <c r="Y179" s="595" t="s">
        <v>959</v>
      </c>
      <c r="Z179" s="596">
        <v>0.06</v>
      </c>
      <c r="AA179" s="151" t="s">
        <v>474</v>
      </c>
      <c r="AB179" s="34" t="s">
        <v>1028</v>
      </c>
      <c r="AC179" s="51" t="str">
        <f t="shared" si="3"/>
        <v>埼玉県三芳町</v>
      </c>
      <c r="AD179" s="32">
        <v>10.42</v>
      </c>
      <c r="AE179" s="34">
        <v>10.33</v>
      </c>
      <c r="AF179" s="51">
        <v>10.27</v>
      </c>
      <c r="AG179" s="1"/>
    </row>
    <row r="180" spans="22:33" ht="14.25" thickBot="1">
      <c r="V180" s="6" t="s">
        <v>380</v>
      </c>
      <c r="W180" s="4" t="s">
        <v>1029</v>
      </c>
      <c r="X180" s="2"/>
      <c r="Y180" s="595" t="s">
        <v>959</v>
      </c>
      <c r="Z180" s="596">
        <v>0.06</v>
      </c>
      <c r="AA180" s="151" t="s">
        <v>474</v>
      </c>
      <c r="AB180" s="34" t="s">
        <v>1030</v>
      </c>
      <c r="AC180" s="51" t="str">
        <f t="shared" si="3"/>
        <v>埼玉県宮代町</v>
      </c>
      <c r="AD180" s="32">
        <v>10.42</v>
      </c>
      <c r="AE180" s="34">
        <v>10.33</v>
      </c>
      <c r="AF180" s="51">
        <v>10.27</v>
      </c>
      <c r="AG180" s="1"/>
    </row>
    <row r="181" spans="22:33" ht="14.25" thickBot="1">
      <c r="V181" s="6" t="s">
        <v>380</v>
      </c>
      <c r="W181" s="4" t="s">
        <v>1031</v>
      </c>
      <c r="X181" s="2"/>
      <c r="Y181" s="595" t="s">
        <v>959</v>
      </c>
      <c r="Z181" s="596">
        <v>0.06</v>
      </c>
      <c r="AA181" s="151" t="s">
        <v>474</v>
      </c>
      <c r="AB181" s="34" t="s">
        <v>1032</v>
      </c>
      <c r="AC181" s="51" t="str">
        <f t="shared" si="3"/>
        <v>埼玉県杉戸町</v>
      </c>
      <c r="AD181" s="32">
        <v>10.42</v>
      </c>
      <c r="AE181" s="34">
        <v>10.33</v>
      </c>
      <c r="AF181" s="51">
        <v>10.27</v>
      </c>
      <c r="AG181" s="1"/>
    </row>
    <row r="182" spans="22:33" ht="14.25" thickBot="1">
      <c r="V182" s="6" t="s">
        <v>380</v>
      </c>
      <c r="W182" s="4" t="s">
        <v>1033</v>
      </c>
      <c r="X182" s="2"/>
      <c r="Y182" s="595" t="s">
        <v>959</v>
      </c>
      <c r="Z182" s="596">
        <v>0.06</v>
      </c>
      <c r="AA182" s="151" t="s">
        <v>474</v>
      </c>
      <c r="AB182" s="34" t="s">
        <v>1034</v>
      </c>
      <c r="AC182" s="51" t="str">
        <f t="shared" si="3"/>
        <v>埼玉県松伏町</v>
      </c>
      <c r="AD182" s="32">
        <v>10.42</v>
      </c>
      <c r="AE182" s="34">
        <v>10.33</v>
      </c>
      <c r="AF182" s="51">
        <v>10.27</v>
      </c>
      <c r="AG182" s="1"/>
    </row>
    <row r="183" spans="22:33" ht="14.25" thickBot="1">
      <c r="V183" s="6" t="s">
        <v>380</v>
      </c>
      <c r="W183" s="4" t="s">
        <v>1035</v>
      </c>
      <c r="X183" s="2"/>
      <c r="Y183" s="595" t="s">
        <v>959</v>
      </c>
      <c r="Z183" s="596">
        <v>0.06</v>
      </c>
      <c r="AA183" s="151" t="s">
        <v>483</v>
      </c>
      <c r="AB183" s="34" t="s">
        <v>1036</v>
      </c>
      <c r="AC183" s="51" t="str">
        <f t="shared" si="3"/>
        <v>千葉県木更津市</v>
      </c>
      <c r="AD183" s="32">
        <v>10.42</v>
      </c>
      <c r="AE183" s="34">
        <v>10.33</v>
      </c>
      <c r="AF183" s="51">
        <v>10.27</v>
      </c>
      <c r="AG183" s="1"/>
    </row>
    <row r="184" spans="22:33" ht="14.25" thickBot="1">
      <c r="V184" s="6" t="s">
        <v>380</v>
      </c>
      <c r="W184" s="4" t="s">
        <v>1037</v>
      </c>
      <c r="X184" s="2"/>
      <c r="Y184" s="595" t="s">
        <v>959</v>
      </c>
      <c r="Z184" s="596">
        <v>0.06</v>
      </c>
      <c r="AA184" s="151" t="s">
        <v>483</v>
      </c>
      <c r="AB184" s="34" t="s">
        <v>1038</v>
      </c>
      <c r="AC184" s="51" t="str">
        <f t="shared" si="3"/>
        <v>千葉県野田市</v>
      </c>
      <c r="AD184" s="32">
        <v>10.42</v>
      </c>
      <c r="AE184" s="34">
        <v>10.33</v>
      </c>
      <c r="AF184" s="51">
        <v>10.27</v>
      </c>
      <c r="AG184" s="1"/>
    </row>
    <row r="185" spans="22:33" ht="14.25" thickBot="1">
      <c r="V185" s="6" t="s">
        <v>380</v>
      </c>
      <c r="W185" s="4" t="s">
        <v>1039</v>
      </c>
      <c r="X185" s="2"/>
      <c r="Y185" s="595" t="s">
        <v>959</v>
      </c>
      <c r="Z185" s="596">
        <v>0.06</v>
      </c>
      <c r="AA185" s="151" t="s">
        <v>483</v>
      </c>
      <c r="AB185" s="34" t="s">
        <v>1040</v>
      </c>
      <c r="AC185" s="51" t="str">
        <f t="shared" si="3"/>
        <v>千葉県茂原市</v>
      </c>
      <c r="AD185" s="32">
        <v>10.42</v>
      </c>
      <c r="AE185" s="34">
        <v>10.33</v>
      </c>
      <c r="AF185" s="51">
        <v>10.27</v>
      </c>
      <c r="AG185" s="1"/>
    </row>
    <row r="186" spans="22:33" ht="14.25" thickBot="1">
      <c r="V186" s="6" t="s">
        <v>380</v>
      </c>
      <c r="W186" s="4" t="s">
        <v>1041</v>
      </c>
      <c r="X186" s="2"/>
      <c r="Y186" s="595" t="s">
        <v>959</v>
      </c>
      <c r="Z186" s="596">
        <v>0.06</v>
      </c>
      <c r="AA186" s="151" t="s">
        <v>483</v>
      </c>
      <c r="AB186" s="34" t="s">
        <v>1042</v>
      </c>
      <c r="AC186" s="51" t="str">
        <f t="shared" si="3"/>
        <v>千葉県柏市</v>
      </c>
      <c r="AD186" s="32">
        <v>10.42</v>
      </c>
      <c r="AE186" s="34">
        <v>10.33</v>
      </c>
      <c r="AF186" s="51">
        <v>10.27</v>
      </c>
      <c r="AG186" s="1"/>
    </row>
    <row r="187" spans="22:33">
      <c r="V187" s="6" t="s">
        <v>380</v>
      </c>
      <c r="W187" s="4" t="s">
        <v>1043</v>
      </c>
      <c r="X187" s="2"/>
      <c r="Y187" s="595" t="s">
        <v>959</v>
      </c>
      <c r="Z187" s="596">
        <v>0.06</v>
      </c>
      <c r="AA187" s="151" t="s">
        <v>483</v>
      </c>
      <c r="AB187" s="34" t="s">
        <v>1044</v>
      </c>
      <c r="AC187" s="51" t="str">
        <f t="shared" si="3"/>
        <v>千葉県流山市</v>
      </c>
      <c r="AD187" s="32">
        <v>10.42</v>
      </c>
      <c r="AE187" s="34">
        <v>10.33</v>
      </c>
      <c r="AF187" s="51">
        <v>10.27</v>
      </c>
      <c r="AG187" s="1"/>
    </row>
    <row r="188" spans="22:33">
      <c r="V188" s="4" t="s">
        <v>396</v>
      </c>
      <c r="W188" s="4" t="s">
        <v>1045</v>
      </c>
      <c r="X188" s="2"/>
      <c r="Y188" s="595" t="s">
        <v>959</v>
      </c>
      <c r="Z188" s="596">
        <v>0.06</v>
      </c>
      <c r="AA188" s="151" t="s">
        <v>483</v>
      </c>
      <c r="AB188" s="34" t="s">
        <v>1046</v>
      </c>
      <c r="AC188" s="51" t="str">
        <f t="shared" si="3"/>
        <v>千葉県我孫子市</v>
      </c>
      <c r="AD188" s="32">
        <v>10.42</v>
      </c>
      <c r="AE188" s="34">
        <v>10.33</v>
      </c>
      <c r="AF188" s="51">
        <v>10.27</v>
      </c>
      <c r="AG188" s="1"/>
    </row>
    <row r="189" spans="22:33">
      <c r="V189" s="4" t="s">
        <v>396</v>
      </c>
      <c r="W189" s="4" t="s">
        <v>1047</v>
      </c>
      <c r="X189" s="2"/>
      <c r="Y189" s="595" t="s">
        <v>959</v>
      </c>
      <c r="Z189" s="596">
        <v>0.06</v>
      </c>
      <c r="AA189" s="151" t="s">
        <v>483</v>
      </c>
      <c r="AB189" s="34" t="s">
        <v>1048</v>
      </c>
      <c r="AC189" s="51" t="str">
        <f t="shared" si="3"/>
        <v>千葉県鎌ケ谷市</v>
      </c>
      <c r="AD189" s="32">
        <v>10.42</v>
      </c>
      <c r="AE189" s="34">
        <v>10.33</v>
      </c>
      <c r="AF189" s="51">
        <v>10.27</v>
      </c>
      <c r="AG189" s="1"/>
    </row>
    <row r="190" spans="22:33">
      <c r="V190" s="4" t="s">
        <v>396</v>
      </c>
      <c r="W190" s="4" t="s">
        <v>1049</v>
      </c>
      <c r="X190" s="2"/>
      <c r="Y190" s="595" t="s">
        <v>959</v>
      </c>
      <c r="Z190" s="596">
        <v>0.06</v>
      </c>
      <c r="AA190" s="151" t="s">
        <v>483</v>
      </c>
      <c r="AB190" s="34" t="s">
        <v>1050</v>
      </c>
      <c r="AC190" s="51" t="str">
        <f t="shared" si="3"/>
        <v>千葉県白井市</v>
      </c>
      <c r="AD190" s="32">
        <v>10.42</v>
      </c>
      <c r="AE190" s="34">
        <v>10.33</v>
      </c>
      <c r="AF190" s="51">
        <v>10.27</v>
      </c>
      <c r="AG190" s="1"/>
    </row>
    <row r="191" spans="22:33">
      <c r="V191" s="4" t="s">
        <v>396</v>
      </c>
      <c r="W191" s="4" t="s">
        <v>1051</v>
      </c>
      <c r="X191" s="2"/>
      <c r="Y191" s="595" t="s">
        <v>959</v>
      </c>
      <c r="Z191" s="596">
        <v>0.06</v>
      </c>
      <c r="AA191" s="151" t="s">
        <v>483</v>
      </c>
      <c r="AB191" s="34" t="s">
        <v>1052</v>
      </c>
      <c r="AC191" s="51" t="str">
        <f t="shared" si="3"/>
        <v>千葉県酒々井町</v>
      </c>
      <c r="AD191" s="32">
        <v>10.42</v>
      </c>
      <c r="AE191" s="34">
        <v>10.33</v>
      </c>
      <c r="AF191" s="51">
        <v>10.27</v>
      </c>
      <c r="AG191" s="1"/>
    </row>
    <row r="192" spans="22:33">
      <c r="V192" s="4" t="s">
        <v>396</v>
      </c>
      <c r="W192" s="4" t="s">
        <v>1053</v>
      </c>
      <c r="X192" s="2"/>
      <c r="Y192" s="595" t="s">
        <v>959</v>
      </c>
      <c r="Z192" s="596">
        <v>0.06</v>
      </c>
      <c r="AA192" s="151" t="s">
        <v>490</v>
      </c>
      <c r="AB192" s="34" t="s">
        <v>1054</v>
      </c>
      <c r="AC192" s="51" t="str">
        <f t="shared" si="3"/>
        <v>東京都武蔵村山市</v>
      </c>
      <c r="AD192" s="32">
        <v>10.42</v>
      </c>
      <c r="AE192" s="34">
        <v>10.33</v>
      </c>
      <c r="AF192" s="51">
        <v>10.27</v>
      </c>
      <c r="AG192" s="1"/>
    </row>
    <row r="193" spans="22:33">
      <c r="V193" s="4" t="s">
        <v>396</v>
      </c>
      <c r="W193" s="4" t="s">
        <v>1055</v>
      </c>
      <c r="X193" s="2"/>
      <c r="Y193" s="595" t="s">
        <v>959</v>
      </c>
      <c r="Z193" s="596">
        <v>0.06</v>
      </c>
      <c r="AA193" s="151" t="s">
        <v>490</v>
      </c>
      <c r="AB193" s="34" t="s">
        <v>1056</v>
      </c>
      <c r="AC193" s="51" t="str">
        <f t="shared" si="3"/>
        <v>東京都羽村市</v>
      </c>
      <c r="AD193" s="32">
        <v>10.42</v>
      </c>
      <c r="AE193" s="34">
        <v>10.33</v>
      </c>
      <c r="AF193" s="51">
        <v>10.27</v>
      </c>
      <c r="AG193" s="1"/>
    </row>
    <row r="194" spans="22:33">
      <c r="V194" s="4" t="s">
        <v>396</v>
      </c>
      <c r="W194" s="4" t="s">
        <v>1057</v>
      </c>
      <c r="X194" s="2"/>
      <c r="Y194" s="595" t="s">
        <v>959</v>
      </c>
      <c r="Z194" s="596">
        <v>0.06</v>
      </c>
      <c r="AA194" s="151" t="s">
        <v>490</v>
      </c>
      <c r="AB194" s="34" t="s">
        <v>1058</v>
      </c>
      <c r="AC194" s="51" t="str">
        <f t="shared" si="3"/>
        <v>東京都瑞穂町</v>
      </c>
      <c r="AD194" s="32">
        <v>10.42</v>
      </c>
      <c r="AE194" s="34">
        <v>10.33</v>
      </c>
      <c r="AF194" s="51">
        <v>10.27</v>
      </c>
      <c r="AG194" s="1"/>
    </row>
    <row r="195" spans="22:33">
      <c r="V195" s="4" t="s">
        <v>396</v>
      </c>
      <c r="W195" s="4" t="s">
        <v>1059</v>
      </c>
      <c r="X195" s="2"/>
      <c r="Y195" s="595" t="s">
        <v>959</v>
      </c>
      <c r="Z195" s="596">
        <v>0.06</v>
      </c>
      <c r="AA195" s="151" t="s">
        <v>490</v>
      </c>
      <c r="AB195" s="34" t="s">
        <v>1060</v>
      </c>
      <c r="AC195" s="51" t="str">
        <f t="shared" si="3"/>
        <v>東京都奥多摩町</v>
      </c>
      <c r="AD195" s="32">
        <v>10.42</v>
      </c>
      <c r="AE195" s="34">
        <v>10.33</v>
      </c>
      <c r="AF195" s="51">
        <v>10.27</v>
      </c>
      <c r="AG195" s="1"/>
    </row>
    <row r="196" spans="22:33">
      <c r="V196" s="4" t="s">
        <v>396</v>
      </c>
      <c r="W196" s="4" t="s">
        <v>1061</v>
      </c>
      <c r="X196" s="2"/>
      <c r="Y196" s="595" t="s">
        <v>959</v>
      </c>
      <c r="Z196" s="596">
        <v>0.06</v>
      </c>
      <c r="AA196" s="151" t="s">
        <v>490</v>
      </c>
      <c r="AB196" s="34" t="s">
        <v>1062</v>
      </c>
      <c r="AC196" s="51" t="str">
        <f t="shared" ref="AC196:AC259" si="4">AA196&amp;AB196</f>
        <v>東京都檜原村</v>
      </c>
      <c r="AD196" s="32">
        <v>10.42</v>
      </c>
      <c r="AE196" s="34">
        <v>10.33</v>
      </c>
      <c r="AF196" s="51">
        <v>10.27</v>
      </c>
      <c r="AG196" s="1"/>
    </row>
    <row r="197" spans="22:33">
      <c r="V197" s="4" t="s">
        <v>396</v>
      </c>
      <c r="W197" s="4" t="s">
        <v>1063</v>
      </c>
      <c r="X197" s="2"/>
      <c r="Y197" s="595" t="s">
        <v>959</v>
      </c>
      <c r="Z197" s="596">
        <v>0.06</v>
      </c>
      <c r="AA197" s="151" t="s">
        <v>500</v>
      </c>
      <c r="AB197" s="34" t="s">
        <v>1064</v>
      </c>
      <c r="AC197" s="51" t="str">
        <f t="shared" si="4"/>
        <v>神奈川県秦野市</v>
      </c>
      <c r="AD197" s="32">
        <v>10.42</v>
      </c>
      <c r="AE197" s="34">
        <v>10.33</v>
      </c>
      <c r="AF197" s="51">
        <v>10.27</v>
      </c>
      <c r="AG197" s="1"/>
    </row>
    <row r="198" spans="22:33">
      <c r="V198" s="4" t="s">
        <v>396</v>
      </c>
      <c r="W198" s="4" t="s">
        <v>1065</v>
      </c>
      <c r="X198" s="2"/>
      <c r="Y198" s="595" t="s">
        <v>959</v>
      </c>
      <c r="Z198" s="596">
        <v>0.06</v>
      </c>
      <c r="AA198" s="151" t="s">
        <v>500</v>
      </c>
      <c r="AB198" s="34" t="s">
        <v>1066</v>
      </c>
      <c r="AC198" s="51" t="str">
        <f t="shared" si="4"/>
        <v>神奈川県大磯町</v>
      </c>
      <c r="AD198" s="32">
        <v>10.42</v>
      </c>
      <c r="AE198" s="34">
        <v>10.33</v>
      </c>
      <c r="AF198" s="51">
        <v>10.27</v>
      </c>
      <c r="AG198" s="1"/>
    </row>
    <row r="199" spans="22:33">
      <c r="V199" s="4" t="s">
        <v>396</v>
      </c>
      <c r="W199" s="4" t="s">
        <v>1067</v>
      </c>
      <c r="X199" s="2"/>
      <c r="Y199" s="595" t="s">
        <v>959</v>
      </c>
      <c r="Z199" s="596">
        <v>0.06</v>
      </c>
      <c r="AA199" s="151" t="s">
        <v>500</v>
      </c>
      <c r="AB199" s="34" t="s">
        <v>1068</v>
      </c>
      <c r="AC199" s="51" t="str">
        <f t="shared" si="4"/>
        <v>神奈川県二宮町</v>
      </c>
      <c r="AD199" s="32">
        <v>10.42</v>
      </c>
      <c r="AE199" s="34">
        <v>10.33</v>
      </c>
      <c r="AF199" s="51">
        <v>10.27</v>
      </c>
      <c r="AG199" s="1"/>
    </row>
    <row r="200" spans="22:33">
      <c r="V200" s="4" t="s">
        <v>396</v>
      </c>
      <c r="W200" s="4" t="s">
        <v>1069</v>
      </c>
      <c r="X200" s="2"/>
      <c r="Y200" s="595" t="s">
        <v>959</v>
      </c>
      <c r="Z200" s="596">
        <v>0.06</v>
      </c>
      <c r="AA200" s="151" t="s">
        <v>500</v>
      </c>
      <c r="AB200" s="34" t="s">
        <v>1070</v>
      </c>
      <c r="AC200" s="51" t="str">
        <f t="shared" si="4"/>
        <v>神奈川県中井町</v>
      </c>
      <c r="AD200" s="32">
        <v>10.42</v>
      </c>
      <c r="AE200" s="34">
        <v>10.33</v>
      </c>
      <c r="AF200" s="51">
        <v>10.27</v>
      </c>
      <c r="AG200" s="1"/>
    </row>
    <row r="201" spans="22:33">
      <c r="V201" s="4" t="s">
        <v>396</v>
      </c>
      <c r="W201" s="4" t="s">
        <v>1071</v>
      </c>
      <c r="X201" s="2"/>
      <c r="Y201" s="595" t="s">
        <v>959</v>
      </c>
      <c r="Z201" s="596">
        <v>0.06</v>
      </c>
      <c r="AA201" s="151" t="s">
        <v>500</v>
      </c>
      <c r="AB201" s="34" t="s">
        <v>1072</v>
      </c>
      <c r="AC201" s="51" t="str">
        <f t="shared" si="4"/>
        <v>神奈川県清川村</v>
      </c>
      <c r="AD201" s="32">
        <v>10.42</v>
      </c>
      <c r="AE201" s="34">
        <v>10.33</v>
      </c>
      <c r="AF201" s="51">
        <v>10.27</v>
      </c>
      <c r="AG201" s="1"/>
    </row>
    <row r="202" spans="22:33">
      <c r="V202" s="4" t="s">
        <v>396</v>
      </c>
      <c r="W202" s="4" t="s">
        <v>1073</v>
      </c>
      <c r="X202" s="2"/>
      <c r="Y202" s="595" t="s">
        <v>959</v>
      </c>
      <c r="Z202" s="596">
        <v>0.06</v>
      </c>
      <c r="AA202" s="151" t="s">
        <v>556</v>
      </c>
      <c r="AB202" s="34" t="s">
        <v>1074</v>
      </c>
      <c r="AC202" s="51" t="str">
        <f t="shared" si="4"/>
        <v>岐阜県岐阜市</v>
      </c>
      <c r="AD202" s="32">
        <v>10.42</v>
      </c>
      <c r="AE202" s="34">
        <v>10.33</v>
      </c>
      <c r="AF202" s="51">
        <v>10.27</v>
      </c>
      <c r="AG202" s="1"/>
    </row>
    <row r="203" spans="22:33">
      <c r="V203" s="4" t="s">
        <v>396</v>
      </c>
      <c r="W203" s="4" t="s">
        <v>1075</v>
      </c>
      <c r="X203" s="2"/>
      <c r="Y203" s="595" t="s">
        <v>959</v>
      </c>
      <c r="Z203" s="596">
        <v>0.06</v>
      </c>
      <c r="AA203" s="151" t="s">
        <v>563</v>
      </c>
      <c r="AB203" s="34" t="s">
        <v>1076</v>
      </c>
      <c r="AC203" s="51" t="str">
        <f t="shared" si="4"/>
        <v>静岡県静岡市</v>
      </c>
      <c r="AD203" s="32">
        <v>10.42</v>
      </c>
      <c r="AE203" s="34">
        <v>10.33</v>
      </c>
      <c r="AF203" s="51">
        <v>10.27</v>
      </c>
      <c r="AG203" s="1"/>
    </row>
    <row r="204" spans="22:33">
      <c r="V204" s="4" t="s">
        <v>396</v>
      </c>
      <c r="W204" s="4" t="s">
        <v>1077</v>
      </c>
      <c r="X204" s="2"/>
      <c r="Y204" s="595" t="s">
        <v>959</v>
      </c>
      <c r="Z204" s="596">
        <v>0.06</v>
      </c>
      <c r="AA204" s="151" t="s">
        <v>571</v>
      </c>
      <c r="AB204" s="34" t="s">
        <v>1078</v>
      </c>
      <c r="AC204" s="51" t="str">
        <f t="shared" si="4"/>
        <v>愛知県岡崎市</v>
      </c>
      <c r="AD204" s="32">
        <v>10.42</v>
      </c>
      <c r="AE204" s="34">
        <v>10.33</v>
      </c>
      <c r="AF204" s="51">
        <v>10.27</v>
      </c>
      <c r="AG204" s="1"/>
    </row>
    <row r="205" spans="22:33">
      <c r="V205" s="4" t="s">
        <v>396</v>
      </c>
      <c r="W205" s="4" t="s">
        <v>1079</v>
      </c>
      <c r="X205" s="2"/>
      <c r="Y205" s="595" t="s">
        <v>959</v>
      </c>
      <c r="Z205" s="596">
        <v>0.06</v>
      </c>
      <c r="AA205" s="151" t="s">
        <v>571</v>
      </c>
      <c r="AB205" s="34" t="s">
        <v>1080</v>
      </c>
      <c r="AC205" s="51" t="str">
        <f t="shared" si="4"/>
        <v>愛知県一宮市</v>
      </c>
      <c r="AD205" s="32">
        <v>10.42</v>
      </c>
      <c r="AE205" s="34">
        <v>10.33</v>
      </c>
      <c r="AF205" s="51">
        <v>10.27</v>
      </c>
      <c r="AG205" s="1"/>
    </row>
    <row r="206" spans="22:33">
      <c r="V206" s="4" t="s">
        <v>396</v>
      </c>
      <c r="W206" s="4" t="s">
        <v>1081</v>
      </c>
      <c r="X206" s="2"/>
      <c r="Y206" s="595" t="s">
        <v>959</v>
      </c>
      <c r="Z206" s="596">
        <v>0.06</v>
      </c>
      <c r="AA206" s="151" t="s">
        <v>571</v>
      </c>
      <c r="AB206" s="34" t="s">
        <v>1082</v>
      </c>
      <c r="AC206" s="51" t="str">
        <f t="shared" si="4"/>
        <v>愛知県瀬戸市</v>
      </c>
      <c r="AD206" s="32">
        <v>10.42</v>
      </c>
      <c r="AE206" s="34">
        <v>10.33</v>
      </c>
      <c r="AF206" s="51">
        <v>10.27</v>
      </c>
      <c r="AG206" s="1"/>
    </row>
    <row r="207" spans="22:33">
      <c r="V207" s="4" t="s">
        <v>396</v>
      </c>
      <c r="W207" s="4" t="s">
        <v>1083</v>
      </c>
      <c r="X207" s="2"/>
      <c r="Y207" s="595" t="s">
        <v>959</v>
      </c>
      <c r="Z207" s="596">
        <v>0.06</v>
      </c>
      <c r="AA207" s="151" t="s">
        <v>571</v>
      </c>
      <c r="AB207" s="34" t="s">
        <v>1084</v>
      </c>
      <c r="AC207" s="51" t="str">
        <f t="shared" si="4"/>
        <v>愛知県春日井市</v>
      </c>
      <c r="AD207" s="32">
        <v>10.42</v>
      </c>
      <c r="AE207" s="34">
        <v>10.33</v>
      </c>
      <c r="AF207" s="51">
        <v>10.27</v>
      </c>
      <c r="AG207" s="1"/>
    </row>
    <row r="208" spans="22:33">
      <c r="V208" s="4" t="s">
        <v>396</v>
      </c>
      <c r="W208" s="4" t="s">
        <v>1085</v>
      </c>
      <c r="X208" s="2"/>
      <c r="Y208" s="595" t="s">
        <v>959</v>
      </c>
      <c r="Z208" s="596">
        <v>0.06</v>
      </c>
      <c r="AA208" s="151" t="s">
        <v>571</v>
      </c>
      <c r="AB208" s="34" t="s">
        <v>1086</v>
      </c>
      <c r="AC208" s="51" t="str">
        <f t="shared" si="4"/>
        <v>愛知県津島市</v>
      </c>
      <c r="AD208" s="32">
        <v>10.42</v>
      </c>
      <c r="AE208" s="34">
        <v>10.33</v>
      </c>
      <c r="AF208" s="51">
        <v>10.27</v>
      </c>
      <c r="AG208" s="1"/>
    </row>
    <row r="209" spans="22:33">
      <c r="V209" s="4" t="s">
        <v>396</v>
      </c>
      <c r="W209" s="4" t="s">
        <v>1087</v>
      </c>
      <c r="X209" s="2"/>
      <c r="Y209" s="595" t="s">
        <v>959</v>
      </c>
      <c r="Z209" s="596">
        <v>0.06</v>
      </c>
      <c r="AA209" s="151" t="s">
        <v>571</v>
      </c>
      <c r="AB209" s="34" t="s">
        <v>1088</v>
      </c>
      <c r="AC209" s="51" t="str">
        <f t="shared" si="4"/>
        <v>愛知県碧南市</v>
      </c>
      <c r="AD209" s="32">
        <v>10.42</v>
      </c>
      <c r="AE209" s="34">
        <v>10.33</v>
      </c>
      <c r="AF209" s="51">
        <v>10.27</v>
      </c>
      <c r="AG209" s="1"/>
    </row>
    <row r="210" spans="22:33">
      <c r="V210" s="4" t="s">
        <v>396</v>
      </c>
      <c r="W210" s="4" t="s">
        <v>1089</v>
      </c>
      <c r="X210" s="2"/>
      <c r="Y210" s="595" t="s">
        <v>959</v>
      </c>
      <c r="Z210" s="596">
        <v>0.06</v>
      </c>
      <c r="AA210" s="151" t="s">
        <v>571</v>
      </c>
      <c r="AB210" s="34" t="s">
        <v>1090</v>
      </c>
      <c r="AC210" s="51" t="str">
        <f t="shared" si="4"/>
        <v>愛知県安城市</v>
      </c>
      <c r="AD210" s="32">
        <v>10.42</v>
      </c>
      <c r="AE210" s="34">
        <v>10.33</v>
      </c>
      <c r="AF210" s="51">
        <v>10.27</v>
      </c>
      <c r="AG210" s="1"/>
    </row>
    <row r="211" spans="22:33">
      <c r="V211" s="4" t="s">
        <v>396</v>
      </c>
      <c r="W211" s="4" t="s">
        <v>1091</v>
      </c>
      <c r="X211" s="2"/>
      <c r="Y211" s="595" t="s">
        <v>959</v>
      </c>
      <c r="Z211" s="596">
        <v>0.06</v>
      </c>
      <c r="AA211" s="151" t="s">
        <v>571</v>
      </c>
      <c r="AB211" s="34" t="s">
        <v>1092</v>
      </c>
      <c r="AC211" s="51" t="str">
        <f t="shared" si="4"/>
        <v>愛知県西尾市</v>
      </c>
      <c r="AD211" s="32">
        <v>10.42</v>
      </c>
      <c r="AE211" s="34">
        <v>10.33</v>
      </c>
      <c r="AF211" s="51">
        <v>10.27</v>
      </c>
      <c r="AG211" s="1"/>
    </row>
    <row r="212" spans="22:33">
      <c r="V212" s="4" t="s">
        <v>396</v>
      </c>
      <c r="W212" s="4" t="s">
        <v>1093</v>
      </c>
      <c r="X212" s="2"/>
      <c r="Y212" s="595" t="s">
        <v>959</v>
      </c>
      <c r="Z212" s="596">
        <v>0.06</v>
      </c>
      <c r="AA212" s="151" t="s">
        <v>571</v>
      </c>
      <c r="AB212" s="34" t="s">
        <v>1094</v>
      </c>
      <c r="AC212" s="51" t="str">
        <f t="shared" si="4"/>
        <v>愛知県犬山市</v>
      </c>
      <c r="AD212" s="32">
        <v>10.42</v>
      </c>
      <c r="AE212" s="34">
        <v>10.33</v>
      </c>
      <c r="AF212" s="51">
        <v>10.27</v>
      </c>
      <c r="AG212" s="1"/>
    </row>
    <row r="213" spans="22:33">
      <c r="V213" s="4" t="s">
        <v>396</v>
      </c>
      <c r="W213" s="4" t="s">
        <v>1095</v>
      </c>
      <c r="X213" s="2"/>
      <c r="Y213" s="595" t="s">
        <v>959</v>
      </c>
      <c r="Z213" s="596">
        <v>0.06</v>
      </c>
      <c r="AA213" s="151" t="s">
        <v>571</v>
      </c>
      <c r="AB213" s="34" t="s">
        <v>1096</v>
      </c>
      <c r="AC213" s="51" t="str">
        <f t="shared" si="4"/>
        <v>愛知県江南市</v>
      </c>
      <c r="AD213" s="32">
        <v>10.42</v>
      </c>
      <c r="AE213" s="34">
        <v>10.33</v>
      </c>
      <c r="AF213" s="51">
        <v>10.27</v>
      </c>
      <c r="AG213" s="1"/>
    </row>
    <row r="214" spans="22:33">
      <c r="V214" s="4" t="s">
        <v>396</v>
      </c>
      <c r="W214" s="4" t="s">
        <v>1097</v>
      </c>
      <c r="X214" s="2"/>
      <c r="Y214" s="595" t="s">
        <v>959</v>
      </c>
      <c r="Z214" s="596">
        <v>0.06</v>
      </c>
      <c r="AA214" s="151" t="s">
        <v>571</v>
      </c>
      <c r="AB214" s="34" t="s">
        <v>1098</v>
      </c>
      <c r="AC214" s="51" t="str">
        <f t="shared" si="4"/>
        <v>愛知県稲沢市</v>
      </c>
      <c r="AD214" s="32">
        <v>10.42</v>
      </c>
      <c r="AE214" s="34">
        <v>10.33</v>
      </c>
      <c r="AF214" s="51">
        <v>10.27</v>
      </c>
      <c r="AG214" s="1"/>
    </row>
    <row r="215" spans="22:33">
      <c r="V215" s="4" t="s">
        <v>396</v>
      </c>
      <c r="W215" s="4" t="s">
        <v>1099</v>
      </c>
      <c r="X215" s="2"/>
      <c r="Y215" s="595" t="s">
        <v>959</v>
      </c>
      <c r="Z215" s="596">
        <v>0.06</v>
      </c>
      <c r="AA215" s="151" t="s">
        <v>571</v>
      </c>
      <c r="AB215" s="34" t="s">
        <v>1100</v>
      </c>
      <c r="AC215" s="51" t="str">
        <f t="shared" si="4"/>
        <v>愛知県尾張旭市</v>
      </c>
      <c r="AD215" s="32">
        <v>10.42</v>
      </c>
      <c r="AE215" s="34">
        <v>10.33</v>
      </c>
      <c r="AF215" s="51">
        <v>10.27</v>
      </c>
      <c r="AG215" s="1"/>
    </row>
    <row r="216" spans="22:33">
      <c r="V216" s="4" t="s">
        <v>396</v>
      </c>
      <c r="W216" s="4" t="s">
        <v>1101</v>
      </c>
      <c r="X216" s="2"/>
      <c r="Y216" s="595" t="s">
        <v>959</v>
      </c>
      <c r="Z216" s="596">
        <v>0.06</v>
      </c>
      <c r="AA216" s="151" t="s">
        <v>571</v>
      </c>
      <c r="AB216" s="34" t="s">
        <v>1102</v>
      </c>
      <c r="AC216" s="51" t="str">
        <f t="shared" si="4"/>
        <v>愛知県岩倉市</v>
      </c>
      <c r="AD216" s="32">
        <v>10.42</v>
      </c>
      <c r="AE216" s="34">
        <v>10.33</v>
      </c>
      <c r="AF216" s="51">
        <v>10.27</v>
      </c>
      <c r="AG216" s="1"/>
    </row>
    <row r="217" spans="22:33">
      <c r="V217" s="4" t="s">
        <v>396</v>
      </c>
      <c r="W217" s="4" t="s">
        <v>1103</v>
      </c>
      <c r="X217" s="2"/>
      <c r="Y217" s="595" t="s">
        <v>959</v>
      </c>
      <c r="Z217" s="596">
        <v>0.06</v>
      </c>
      <c r="AA217" s="151" t="s">
        <v>571</v>
      </c>
      <c r="AB217" s="34" t="s">
        <v>1104</v>
      </c>
      <c r="AC217" s="51" t="str">
        <f t="shared" si="4"/>
        <v>愛知県日進市</v>
      </c>
      <c r="AD217" s="32">
        <v>10.42</v>
      </c>
      <c r="AE217" s="34">
        <v>10.33</v>
      </c>
      <c r="AF217" s="51">
        <v>10.27</v>
      </c>
      <c r="AG217" s="1"/>
    </row>
    <row r="218" spans="22:33">
      <c r="V218" s="4" t="s">
        <v>396</v>
      </c>
      <c r="W218" s="4" t="s">
        <v>1105</v>
      </c>
      <c r="X218" s="2"/>
      <c r="Y218" s="595" t="s">
        <v>959</v>
      </c>
      <c r="Z218" s="596">
        <v>0.06</v>
      </c>
      <c r="AA218" s="151" t="s">
        <v>571</v>
      </c>
      <c r="AB218" s="34" t="s">
        <v>1106</v>
      </c>
      <c r="AC218" s="51" t="str">
        <f t="shared" si="4"/>
        <v>愛知県愛西市</v>
      </c>
      <c r="AD218" s="32">
        <v>10.42</v>
      </c>
      <c r="AE218" s="34">
        <v>10.33</v>
      </c>
      <c r="AF218" s="51">
        <v>10.27</v>
      </c>
      <c r="AG218" s="1"/>
    </row>
    <row r="219" spans="22:33">
      <c r="V219" s="4" t="s">
        <v>396</v>
      </c>
      <c r="W219" s="4" t="s">
        <v>1107</v>
      </c>
      <c r="X219" s="2"/>
      <c r="Y219" s="595" t="s">
        <v>959</v>
      </c>
      <c r="Z219" s="596">
        <v>0.06</v>
      </c>
      <c r="AA219" s="151" t="s">
        <v>571</v>
      </c>
      <c r="AB219" s="34" t="s">
        <v>1108</v>
      </c>
      <c r="AC219" s="51" t="str">
        <f t="shared" si="4"/>
        <v>愛知県清須市</v>
      </c>
      <c r="AD219" s="32">
        <v>10.42</v>
      </c>
      <c r="AE219" s="34">
        <v>10.33</v>
      </c>
      <c r="AF219" s="51">
        <v>10.27</v>
      </c>
      <c r="AG219" s="1"/>
    </row>
    <row r="220" spans="22:33">
      <c r="V220" s="4" t="s">
        <v>396</v>
      </c>
      <c r="W220" s="4" t="s">
        <v>1109</v>
      </c>
      <c r="X220" s="2"/>
      <c r="Y220" s="595" t="s">
        <v>959</v>
      </c>
      <c r="Z220" s="596">
        <v>0.06</v>
      </c>
      <c r="AA220" s="151" t="s">
        <v>571</v>
      </c>
      <c r="AB220" s="34" t="s">
        <v>1110</v>
      </c>
      <c r="AC220" s="51" t="str">
        <f t="shared" si="4"/>
        <v>愛知県北名古屋市</v>
      </c>
      <c r="AD220" s="32">
        <v>10.42</v>
      </c>
      <c r="AE220" s="34">
        <v>10.33</v>
      </c>
      <c r="AF220" s="51">
        <v>10.27</v>
      </c>
      <c r="AG220" s="1"/>
    </row>
    <row r="221" spans="22:33">
      <c r="V221" s="4" t="s">
        <v>396</v>
      </c>
      <c r="W221" s="4" t="s">
        <v>1111</v>
      </c>
      <c r="X221" s="2"/>
      <c r="Y221" s="595" t="s">
        <v>959</v>
      </c>
      <c r="Z221" s="596">
        <v>0.06</v>
      </c>
      <c r="AA221" s="151" t="s">
        <v>571</v>
      </c>
      <c r="AB221" s="34" t="s">
        <v>1112</v>
      </c>
      <c r="AC221" s="51" t="str">
        <f t="shared" si="4"/>
        <v>愛知県弥富市</v>
      </c>
      <c r="AD221" s="32">
        <v>10.42</v>
      </c>
      <c r="AE221" s="34">
        <v>10.33</v>
      </c>
      <c r="AF221" s="51">
        <v>10.27</v>
      </c>
      <c r="AG221" s="1"/>
    </row>
    <row r="222" spans="22:33">
      <c r="V222" s="4" t="s">
        <v>396</v>
      </c>
      <c r="W222" s="4" t="s">
        <v>1113</v>
      </c>
      <c r="X222" s="2"/>
      <c r="Y222" s="595" t="s">
        <v>959</v>
      </c>
      <c r="Z222" s="596">
        <v>0.06</v>
      </c>
      <c r="AA222" s="151" t="s">
        <v>571</v>
      </c>
      <c r="AB222" s="34" t="s">
        <v>1114</v>
      </c>
      <c r="AC222" s="51" t="str">
        <f t="shared" si="4"/>
        <v>愛知県あま市</v>
      </c>
      <c r="AD222" s="32">
        <v>10.42</v>
      </c>
      <c r="AE222" s="34">
        <v>10.33</v>
      </c>
      <c r="AF222" s="51">
        <v>10.27</v>
      </c>
      <c r="AG222" s="1"/>
    </row>
    <row r="223" spans="22:33">
      <c r="V223" s="4" t="s">
        <v>396</v>
      </c>
      <c r="W223" s="4" t="s">
        <v>1115</v>
      </c>
      <c r="X223" s="2"/>
      <c r="Y223" s="595" t="s">
        <v>959</v>
      </c>
      <c r="Z223" s="596">
        <v>0.06</v>
      </c>
      <c r="AA223" s="151" t="s">
        <v>571</v>
      </c>
      <c r="AB223" s="34" t="s">
        <v>1116</v>
      </c>
      <c r="AC223" s="51" t="str">
        <f t="shared" si="4"/>
        <v>愛知県長久手市</v>
      </c>
      <c r="AD223" s="32">
        <v>10.42</v>
      </c>
      <c r="AE223" s="34">
        <v>10.33</v>
      </c>
      <c r="AF223" s="51">
        <v>10.27</v>
      </c>
      <c r="AG223" s="1"/>
    </row>
    <row r="224" spans="22:33">
      <c r="V224" s="4" t="s">
        <v>396</v>
      </c>
      <c r="W224" s="4" t="s">
        <v>1117</v>
      </c>
      <c r="X224" s="2"/>
      <c r="Y224" s="595" t="s">
        <v>959</v>
      </c>
      <c r="Z224" s="596">
        <v>0.06</v>
      </c>
      <c r="AA224" s="151" t="s">
        <v>571</v>
      </c>
      <c r="AB224" s="34" t="s">
        <v>1118</v>
      </c>
      <c r="AC224" s="51" t="str">
        <f t="shared" si="4"/>
        <v>愛知県東郷町</v>
      </c>
      <c r="AD224" s="32">
        <v>10.42</v>
      </c>
      <c r="AE224" s="34">
        <v>10.33</v>
      </c>
      <c r="AF224" s="51">
        <v>10.27</v>
      </c>
      <c r="AG224" s="1"/>
    </row>
    <row r="225" spans="22:33">
      <c r="V225" s="4" t="s">
        <v>396</v>
      </c>
      <c r="W225" s="4" t="s">
        <v>1119</v>
      </c>
      <c r="X225" s="2"/>
      <c r="Y225" s="595" t="s">
        <v>959</v>
      </c>
      <c r="Z225" s="596">
        <v>0.06</v>
      </c>
      <c r="AA225" s="151" t="s">
        <v>571</v>
      </c>
      <c r="AB225" s="34" t="s">
        <v>1120</v>
      </c>
      <c r="AC225" s="51" t="str">
        <f t="shared" si="4"/>
        <v>愛知県大治町</v>
      </c>
      <c r="AD225" s="32">
        <v>10.42</v>
      </c>
      <c r="AE225" s="34">
        <v>10.33</v>
      </c>
      <c r="AF225" s="51">
        <v>10.27</v>
      </c>
      <c r="AG225" s="1"/>
    </row>
    <row r="226" spans="22:33">
      <c r="V226" s="4" t="s">
        <v>396</v>
      </c>
      <c r="W226" s="4" t="s">
        <v>1121</v>
      </c>
      <c r="X226" s="2"/>
      <c r="Y226" s="595" t="s">
        <v>959</v>
      </c>
      <c r="Z226" s="596">
        <v>0.06</v>
      </c>
      <c r="AA226" s="151" t="s">
        <v>571</v>
      </c>
      <c r="AB226" s="34" t="s">
        <v>1122</v>
      </c>
      <c r="AC226" s="51" t="str">
        <f t="shared" si="4"/>
        <v>愛知県蟹江町</v>
      </c>
      <c r="AD226" s="32">
        <v>10.42</v>
      </c>
      <c r="AE226" s="34">
        <v>10.33</v>
      </c>
      <c r="AF226" s="51">
        <v>10.27</v>
      </c>
      <c r="AG226" s="1"/>
    </row>
    <row r="227" spans="22:33">
      <c r="V227" s="4" t="s">
        <v>396</v>
      </c>
      <c r="W227" s="4" t="s">
        <v>1123</v>
      </c>
      <c r="X227" s="2"/>
      <c r="Y227" s="595" t="s">
        <v>959</v>
      </c>
      <c r="Z227" s="596">
        <v>0.06</v>
      </c>
      <c r="AA227" s="151" t="s">
        <v>571</v>
      </c>
      <c r="AB227" s="34" t="s">
        <v>1124</v>
      </c>
      <c r="AC227" s="51" t="str">
        <f t="shared" si="4"/>
        <v>愛知県豊山町</v>
      </c>
      <c r="AD227" s="32">
        <v>10.42</v>
      </c>
      <c r="AE227" s="34">
        <v>10.33</v>
      </c>
      <c r="AF227" s="51">
        <v>10.27</v>
      </c>
      <c r="AG227" s="1"/>
    </row>
    <row r="228" spans="22:33">
      <c r="V228" s="4" t="s">
        <v>407</v>
      </c>
      <c r="W228" s="4" t="s">
        <v>1125</v>
      </c>
      <c r="X228" s="2"/>
      <c r="Y228" s="595" t="s">
        <v>959</v>
      </c>
      <c r="Z228" s="596">
        <v>0.06</v>
      </c>
      <c r="AA228" s="151" t="s">
        <v>571</v>
      </c>
      <c r="AB228" s="34" t="s">
        <v>1126</v>
      </c>
      <c r="AC228" s="51" t="str">
        <f t="shared" si="4"/>
        <v>愛知県飛島村</v>
      </c>
      <c r="AD228" s="32">
        <v>10.42</v>
      </c>
      <c r="AE228" s="34">
        <v>10.33</v>
      </c>
      <c r="AF228" s="51">
        <v>10.27</v>
      </c>
      <c r="AG228" s="1"/>
    </row>
    <row r="229" spans="22:33">
      <c r="V229" s="4" t="s">
        <v>407</v>
      </c>
      <c r="W229" s="4" t="s">
        <v>1127</v>
      </c>
      <c r="X229" s="2"/>
      <c r="Y229" s="595" t="s">
        <v>959</v>
      </c>
      <c r="Z229" s="596">
        <v>0.06</v>
      </c>
      <c r="AA229" s="151" t="s">
        <v>579</v>
      </c>
      <c r="AB229" s="34" t="s">
        <v>1128</v>
      </c>
      <c r="AC229" s="51" t="str">
        <f t="shared" si="4"/>
        <v>三重県津市</v>
      </c>
      <c r="AD229" s="32">
        <v>10.42</v>
      </c>
      <c r="AE229" s="34">
        <v>10.33</v>
      </c>
      <c r="AF229" s="51">
        <v>10.27</v>
      </c>
      <c r="AG229" s="1"/>
    </row>
    <row r="230" spans="22:33">
      <c r="V230" s="4" t="s">
        <v>407</v>
      </c>
      <c r="W230" s="4" t="s">
        <v>1129</v>
      </c>
      <c r="X230" s="2"/>
      <c r="Y230" s="595" t="s">
        <v>959</v>
      </c>
      <c r="Z230" s="596">
        <v>0.06</v>
      </c>
      <c r="AA230" s="151" t="s">
        <v>579</v>
      </c>
      <c r="AB230" s="34" t="s">
        <v>1130</v>
      </c>
      <c r="AC230" s="51" t="str">
        <f t="shared" si="4"/>
        <v>三重県四日市市</v>
      </c>
      <c r="AD230" s="32">
        <v>10.42</v>
      </c>
      <c r="AE230" s="34">
        <v>10.33</v>
      </c>
      <c r="AF230" s="51">
        <v>10.27</v>
      </c>
      <c r="AG230" s="1"/>
    </row>
    <row r="231" spans="22:33">
      <c r="V231" s="4" t="s">
        <v>407</v>
      </c>
      <c r="W231" s="4" t="s">
        <v>1131</v>
      </c>
      <c r="X231" s="2"/>
      <c r="Y231" s="595" t="s">
        <v>959</v>
      </c>
      <c r="Z231" s="596">
        <v>0.06</v>
      </c>
      <c r="AA231" s="151" t="s">
        <v>579</v>
      </c>
      <c r="AB231" s="34" t="s">
        <v>1132</v>
      </c>
      <c r="AC231" s="51" t="str">
        <f t="shared" si="4"/>
        <v>三重県桑名市</v>
      </c>
      <c r="AD231" s="32">
        <v>10.42</v>
      </c>
      <c r="AE231" s="34">
        <v>10.33</v>
      </c>
      <c r="AF231" s="51">
        <v>10.27</v>
      </c>
      <c r="AG231" s="1"/>
    </row>
    <row r="232" spans="22:33">
      <c r="V232" s="4" t="s">
        <v>407</v>
      </c>
      <c r="W232" s="4" t="s">
        <v>1133</v>
      </c>
      <c r="X232" s="2"/>
      <c r="Y232" s="595" t="s">
        <v>959</v>
      </c>
      <c r="Z232" s="596">
        <v>0.06</v>
      </c>
      <c r="AA232" s="151" t="s">
        <v>579</v>
      </c>
      <c r="AB232" s="34" t="s">
        <v>1134</v>
      </c>
      <c r="AC232" s="51" t="str">
        <f t="shared" si="4"/>
        <v>三重県鈴鹿市</v>
      </c>
      <c r="AD232" s="32">
        <v>10.42</v>
      </c>
      <c r="AE232" s="34">
        <v>10.33</v>
      </c>
      <c r="AF232" s="51">
        <v>10.27</v>
      </c>
      <c r="AG232" s="1"/>
    </row>
    <row r="233" spans="22:33">
      <c r="V233" s="4" t="s">
        <v>407</v>
      </c>
      <c r="W233" s="4" t="s">
        <v>1135</v>
      </c>
      <c r="X233" s="2"/>
      <c r="Y233" s="595" t="s">
        <v>959</v>
      </c>
      <c r="Z233" s="596">
        <v>0.06</v>
      </c>
      <c r="AA233" s="151" t="s">
        <v>579</v>
      </c>
      <c r="AB233" s="34" t="s">
        <v>1136</v>
      </c>
      <c r="AC233" s="51" t="str">
        <f t="shared" si="4"/>
        <v>三重県亀山市</v>
      </c>
      <c r="AD233" s="32">
        <v>10.42</v>
      </c>
      <c r="AE233" s="34">
        <v>10.33</v>
      </c>
      <c r="AF233" s="51">
        <v>10.27</v>
      </c>
      <c r="AG233" s="1"/>
    </row>
    <row r="234" spans="22:33">
      <c r="V234" s="4" t="s">
        <v>407</v>
      </c>
      <c r="W234" s="4" t="s">
        <v>1137</v>
      </c>
      <c r="X234" s="2"/>
      <c r="Y234" s="595" t="s">
        <v>959</v>
      </c>
      <c r="Z234" s="596">
        <v>0.06</v>
      </c>
      <c r="AA234" s="151" t="s">
        <v>587</v>
      </c>
      <c r="AB234" s="34" t="s">
        <v>1138</v>
      </c>
      <c r="AC234" s="51" t="str">
        <f t="shared" si="4"/>
        <v>滋賀県彦根市</v>
      </c>
      <c r="AD234" s="32">
        <v>10.42</v>
      </c>
      <c r="AE234" s="34">
        <v>10.33</v>
      </c>
      <c r="AF234" s="51">
        <v>10.27</v>
      </c>
      <c r="AG234" s="1"/>
    </row>
    <row r="235" spans="22:33">
      <c r="V235" s="4" t="s">
        <v>407</v>
      </c>
      <c r="W235" s="4" t="s">
        <v>1139</v>
      </c>
      <c r="X235" s="2"/>
      <c r="Y235" s="595" t="s">
        <v>959</v>
      </c>
      <c r="Z235" s="596">
        <v>0.06</v>
      </c>
      <c r="AA235" s="151" t="s">
        <v>587</v>
      </c>
      <c r="AB235" s="34" t="s">
        <v>1140</v>
      </c>
      <c r="AC235" s="51" t="str">
        <f t="shared" si="4"/>
        <v>滋賀県守山市</v>
      </c>
      <c r="AD235" s="32">
        <v>10.42</v>
      </c>
      <c r="AE235" s="34">
        <v>10.33</v>
      </c>
      <c r="AF235" s="51">
        <v>10.27</v>
      </c>
      <c r="AG235" s="1"/>
    </row>
    <row r="236" spans="22:33">
      <c r="V236" s="4" t="s">
        <v>407</v>
      </c>
      <c r="W236" s="4" t="s">
        <v>1141</v>
      </c>
      <c r="X236" s="2"/>
      <c r="Y236" s="595" t="s">
        <v>959</v>
      </c>
      <c r="Z236" s="596">
        <v>0.06</v>
      </c>
      <c r="AA236" s="151" t="s">
        <v>587</v>
      </c>
      <c r="AB236" s="34" t="s">
        <v>1142</v>
      </c>
      <c r="AC236" s="51" t="str">
        <f t="shared" si="4"/>
        <v>滋賀県甲賀市</v>
      </c>
      <c r="AD236" s="32">
        <v>10.42</v>
      </c>
      <c r="AE236" s="34">
        <v>10.33</v>
      </c>
      <c r="AF236" s="51">
        <v>10.27</v>
      </c>
      <c r="AG236" s="1"/>
    </row>
    <row r="237" spans="22:33">
      <c r="V237" s="4" t="s">
        <v>407</v>
      </c>
      <c r="W237" s="4" t="s">
        <v>1143</v>
      </c>
      <c r="X237" s="2"/>
      <c r="Y237" s="595" t="s">
        <v>959</v>
      </c>
      <c r="Z237" s="596">
        <v>0.06</v>
      </c>
      <c r="AA237" s="151" t="s">
        <v>596</v>
      </c>
      <c r="AB237" s="34" t="s">
        <v>1144</v>
      </c>
      <c r="AC237" s="51" t="str">
        <f t="shared" si="4"/>
        <v>京都府宇治市</v>
      </c>
      <c r="AD237" s="32">
        <v>10.42</v>
      </c>
      <c r="AE237" s="34">
        <v>10.33</v>
      </c>
      <c r="AF237" s="51">
        <v>10.27</v>
      </c>
      <c r="AG237" s="1"/>
    </row>
    <row r="238" spans="22:33">
      <c r="V238" s="4" t="s">
        <v>407</v>
      </c>
      <c r="W238" s="4" t="s">
        <v>1145</v>
      </c>
      <c r="X238" s="2"/>
      <c r="Y238" s="595" t="s">
        <v>959</v>
      </c>
      <c r="Z238" s="596">
        <v>0.06</v>
      </c>
      <c r="AA238" s="151" t="s">
        <v>596</v>
      </c>
      <c r="AB238" s="34" t="s">
        <v>1146</v>
      </c>
      <c r="AC238" s="51" t="str">
        <f t="shared" si="4"/>
        <v>京都府亀岡市</v>
      </c>
      <c r="AD238" s="32">
        <v>10.42</v>
      </c>
      <c r="AE238" s="34">
        <v>10.33</v>
      </c>
      <c r="AF238" s="51">
        <v>10.27</v>
      </c>
      <c r="AG238" s="1"/>
    </row>
    <row r="239" spans="22:33">
      <c r="V239" s="4" t="s">
        <v>407</v>
      </c>
      <c r="W239" s="4" t="s">
        <v>1147</v>
      </c>
      <c r="X239" s="2"/>
      <c r="Y239" s="595" t="s">
        <v>959</v>
      </c>
      <c r="Z239" s="596">
        <v>0.06</v>
      </c>
      <c r="AA239" s="151" t="s">
        <v>596</v>
      </c>
      <c r="AB239" s="34" t="s">
        <v>1148</v>
      </c>
      <c r="AC239" s="51" t="str">
        <f t="shared" si="4"/>
        <v>京都府城陽市</v>
      </c>
      <c r="AD239" s="32">
        <v>10.42</v>
      </c>
      <c r="AE239" s="34">
        <v>10.33</v>
      </c>
      <c r="AF239" s="51">
        <v>10.27</v>
      </c>
      <c r="AG239" s="1"/>
    </row>
    <row r="240" spans="22:33">
      <c r="V240" s="4" t="s">
        <v>407</v>
      </c>
      <c r="W240" s="4" t="s">
        <v>1149</v>
      </c>
      <c r="X240" s="2"/>
      <c r="Y240" s="595" t="s">
        <v>959</v>
      </c>
      <c r="Z240" s="596">
        <v>0.06</v>
      </c>
      <c r="AA240" s="151" t="s">
        <v>596</v>
      </c>
      <c r="AB240" s="34" t="s">
        <v>1150</v>
      </c>
      <c r="AC240" s="51" t="str">
        <f t="shared" si="4"/>
        <v>京都府向日市</v>
      </c>
      <c r="AD240" s="32">
        <v>10.42</v>
      </c>
      <c r="AE240" s="34">
        <v>10.33</v>
      </c>
      <c r="AF240" s="51">
        <v>10.27</v>
      </c>
      <c r="AG240" s="1"/>
    </row>
    <row r="241" spans="22:33">
      <c r="V241" s="4" t="s">
        <v>407</v>
      </c>
      <c r="W241" s="4" t="s">
        <v>1151</v>
      </c>
      <c r="X241" s="2"/>
      <c r="Y241" s="595" t="s">
        <v>959</v>
      </c>
      <c r="Z241" s="596">
        <v>0.06</v>
      </c>
      <c r="AA241" s="151" t="s">
        <v>596</v>
      </c>
      <c r="AB241" s="34" t="s">
        <v>1152</v>
      </c>
      <c r="AC241" s="51" t="str">
        <f t="shared" si="4"/>
        <v>京都府八幡市</v>
      </c>
      <c r="AD241" s="32">
        <v>10.42</v>
      </c>
      <c r="AE241" s="34">
        <v>10.33</v>
      </c>
      <c r="AF241" s="51">
        <v>10.27</v>
      </c>
      <c r="AG241" s="1"/>
    </row>
    <row r="242" spans="22:33">
      <c r="V242" s="4" t="s">
        <v>407</v>
      </c>
      <c r="W242" s="4" t="s">
        <v>1153</v>
      </c>
      <c r="X242" s="2"/>
      <c r="Y242" s="595" t="s">
        <v>959</v>
      </c>
      <c r="Z242" s="596">
        <v>0.06</v>
      </c>
      <c r="AA242" s="151" t="s">
        <v>596</v>
      </c>
      <c r="AB242" s="34" t="s">
        <v>1154</v>
      </c>
      <c r="AC242" s="51" t="str">
        <f t="shared" si="4"/>
        <v>京都府京田辺市</v>
      </c>
      <c r="AD242" s="32">
        <v>10.42</v>
      </c>
      <c r="AE242" s="34">
        <v>10.33</v>
      </c>
      <c r="AF242" s="51">
        <v>10.27</v>
      </c>
      <c r="AG242" s="1"/>
    </row>
    <row r="243" spans="22:33">
      <c r="V243" s="4" t="s">
        <v>407</v>
      </c>
      <c r="W243" s="4" t="s">
        <v>1155</v>
      </c>
      <c r="X243" s="2"/>
      <c r="Y243" s="595" t="s">
        <v>959</v>
      </c>
      <c r="Z243" s="596">
        <v>0.06</v>
      </c>
      <c r="AA243" s="151" t="s">
        <v>596</v>
      </c>
      <c r="AB243" s="34" t="s">
        <v>1156</v>
      </c>
      <c r="AC243" s="51" t="str">
        <f t="shared" si="4"/>
        <v>京都府木津川市</v>
      </c>
      <c r="AD243" s="32">
        <v>10.42</v>
      </c>
      <c r="AE243" s="34">
        <v>10.33</v>
      </c>
      <c r="AF243" s="51">
        <v>10.27</v>
      </c>
      <c r="AG243" s="1"/>
    </row>
    <row r="244" spans="22:33">
      <c r="V244" s="4" t="s">
        <v>407</v>
      </c>
      <c r="W244" s="4" t="s">
        <v>1157</v>
      </c>
      <c r="X244" s="2"/>
      <c r="Y244" s="595" t="s">
        <v>959</v>
      </c>
      <c r="Z244" s="596">
        <v>0.06</v>
      </c>
      <c r="AA244" s="151" t="s">
        <v>596</v>
      </c>
      <c r="AB244" s="34" t="s">
        <v>1158</v>
      </c>
      <c r="AC244" s="51" t="str">
        <f t="shared" si="4"/>
        <v>京都府大山崎町</v>
      </c>
      <c r="AD244" s="32">
        <v>10.42</v>
      </c>
      <c r="AE244" s="34">
        <v>10.33</v>
      </c>
      <c r="AF244" s="51">
        <v>10.27</v>
      </c>
      <c r="AG244" s="1"/>
    </row>
    <row r="245" spans="22:33">
      <c r="V245" s="4" t="s">
        <v>407</v>
      </c>
      <c r="W245" s="4" t="s">
        <v>1159</v>
      </c>
      <c r="X245" s="2"/>
      <c r="Y245" s="595" t="s">
        <v>959</v>
      </c>
      <c r="Z245" s="596">
        <v>0.06</v>
      </c>
      <c r="AA245" s="151" t="s">
        <v>596</v>
      </c>
      <c r="AB245" s="34" t="s">
        <v>1160</v>
      </c>
      <c r="AC245" s="51" t="str">
        <f t="shared" si="4"/>
        <v>京都府精華町</v>
      </c>
      <c r="AD245" s="32">
        <v>10.42</v>
      </c>
      <c r="AE245" s="34">
        <v>10.33</v>
      </c>
      <c r="AF245" s="51">
        <v>10.27</v>
      </c>
      <c r="AG245" s="1"/>
    </row>
    <row r="246" spans="22:33">
      <c r="V246" s="4" t="s">
        <v>407</v>
      </c>
      <c r="W246" s="4" t="s">
        <v>1161</v>
      </c>
      <c r="X246" s="2"/>
      <c r="Y246" s="595" t="s">
        <v>959</v>
      </c>
      <c r="Z246" s="596">
        <v>0.06</v>
      </c>
      <c r="AA246" s="151" t="s">
        <v>605</v>
      </c>
      <c r="AB246" s="34" t="s">
        <v>1162</v>
      </c>
      <c r="AC246" s="51" t="str">
        <f t="shared" si="4"/>
        <v>大阪府岸和田市</v>
      </c>
      <c r="AD246" s="32">
        <v>10.42</v>
      </c>
      <c r="AE246" s="34">
        <v>10.33</v>
      </c>
      <c r="AF246" s="51">
        <v>10.27</v>
      </c>
      <c r="AG246" s="1"/>
    </row>
    <row r="247" spans="22:33">
      <c r="V247" s="4" t="s">
        <v>407</v>
      </c>
      <c r="W247" s="4" t="s">
        <v>1163</v>
      </c>
      <c r="X247" s="2"/>
      <c r="Y247" s="595" t="s">
        <v>959</v>
      </c>
      <c r="Z247" s="596">
        <v>0.06</v>
      </c>
      <c r="AA247" s="151" t="s">
        <v>605</v>
      </c>
      <c r="AB247" s="34" t="s">
        <v>1164</v>
      </c>
      <c r="AC247" s="51" t="str">
        <f t="shared" si="4"/>
        <v>大阪府泉大津市</v>
      </c>
      <c r="AD247" s="32">
        <v>10.42</v>
      </c>
      <c r="AE247" s="34">
        <v>10.33</v>
      </c>
      <c r="AF247" s="51">
        <v>10.27</v>
      </c>
      <c r="AG247" s="1"/>
    </row>
    <row r="248" spans="22:33">
      <c r="V248" s="4" t="s">
        <v>407</v>
      </c>
      <c r="W248" s="4" t="s">
        <v>1165</v>
      </c>
      <c r="X248" s="2"/>
      <c r="Y248" s="595" t="s">
        <v>959</v>
      </c>
      <c r="Z248" s="596">
        <v>0.06</v>
      </c>
      <c r="AA248" s="151" t="s">
        <v>605</v>
      </c>
      <c r="AB248" s="34" t="s">
        <v>1166</v>
      </c>
      <c r="AC248" s="51" t="str">
        <f t="shared" si="4"/>
        <v>大阪府貝塚市</v>
      </c>
      <c r="AD248" s="32">
        <v>10.42</v>
      </c>
      <c r="AE248" s="34">
        <v>10.33</v>
      </c>
      <c r="AF248" s="51">
        <v>10.27</v>
      </c>
      <c r="AG248" s="1"/>
    </row>
    <row r="249" spans="22:33">
      <c r="V249" s="4" t="s">
        <v>407</v>
      </c>
      <c r="W249" s="4" t="s">
        <v>1167</v>
      </c>
      <c r="X249" s="2"/>
      <c r="Y249" s="595" t="s">
        <v>959</v>
      </c>
      <c r="Z249" s="596">
        <v>0.06</v>
      </c>
      <c r="AA249" s="151" t="s">
        <v>605</v>
      </c>
      <c r="AB249" s="34" t="s">
        <v>1168</v>
      </c>
      <c r="AC249" s="51" t="str">
        <f t="shared" si="4"/>
        <v>大阪府泉佐野市</v>
      </c>
      <c r="AD249" s="32">
        <v>10.42</v>
      </c>
      <c r="AE249" s="34">
        <v>10.33</v>
      </c>
      <c r="AF249" s="51">
        <v>10.27</v>
      </c>
      <c r="AG249" s="1"/>
    </row>
    <row r="250" spans="22:33">
      <c r="V250" s="4" t="s">
        <v>407</v>
      </c>
      <c r="W250" s="4" t="s">
        <v>1169</v>
      </c>
      <c r="X250" s="2"/>
      <c r="Y250" s="595" t="s">
        <v>959</v>
      </c>
      <c r="Z250" s="596">
        <v>0.06</v>
      </c>
      <c r="AA250" s="151" t="s">
        <v>605</v>
      </c>
      <c r="AB250" s="34" t="s">
        <v>1170</v>
      </c>
      <c r="AC250" s="51" t="str">
        <f t="shared" si="4"/>
        <v>大阪府富田林市</v>
      </c>
      <c r="AD250" s="32">
        <v>10.42</v>
      </c>
      <c r="AE250" s="34">
        <v>10.33</v>
      </c>
      <c r="AF250" s="51">
        <v>10.27</v>
      </c>
      <c r="AG250" s="1"/>
    </row>
    <row r="251" spans="22:33">
      <c r="V251" s="4" t="s">
        <v>407</v>
      </c>
      <c r="W251" s="4" t="s">
        <v>1171</v>
      </c>
      <c r="X251" s="2"/>
      <c r="Y251" s="595" t="s">
        <v>959</v>
      </c>
      <c r="Z251" s="596">
        <v>0.06</v>
      </c>
      <c r="AA251" s="151" t="s">
        <v>605</v>
      </c>
      <c r="AB251" s="34" t="s">
        <v>1172</v>
      </c>
      <c r="AC251" s="51" t="str">
        <f t="shared" si="4"/>
        <v>大阪府河内長野市</v>
      </c>
      <c r="AD251" s="32">
        <v>10.42</v>
      </c>
      <c r="AE251" s="34">
        <v>10.33</v>
      </c>
      <c r="AF251" s="51">
        <v>10.27</v>
      </c>
      <c r="AG251" s="1"/>
    </row>
    <row r="252" spans="22:33">
      <c r="V252" s="4" t="s">
        <v>407</v>
      </c>
      <c r="W252" s="4" t="s">
        <v>1173</v>
      </c>
      <c r="X252" s="2"/>
      <c r="Y252" s="595" t="s">
        <v>959</v>
      </c>
      <c r="Z252" s="596">
        <v>0.06</v>
      </c>
      <c r="AA252" s="151" t="s">
        <v>605</v>
      </c>
      <c r="AB252" s="34" t="s">
        <v>1174</v>
      </c>
      <c r="AC252" s="51" t="str">
        <f t="shared" si="4"/>
        <v>大阪府和泉市</v>
      </c>
      <c r="AD252" s="32">
        <v>10.42</v>
      </c>
      <c r="AE252" s="34">
        <v>10.33</v>
      </c>
      <c r="AF252" s="51">
        <v>10.27</v>
      </c>
      <c r="AG252" s="1"/>
    </row>
    <row r="253" spans="22:33">
      <c r="V253" s="4" t="s">
        <v>407</v>
      </c>
      <c r="W253" s="4" t="s">
        <v>1175</v>
      </c>
      <c r="X253" s="2"/>
      <c r="Y253" s="595" t="s">
        <v>959</v>
      </c>
      <c r="Z253" s="596">
        <v>0.06</v>
      </c>
      <c r="AA253" s="151" t="s">
        <v>605</v>
      </c>
      <c r="AB253" s="34" t="s">
        <v>1176</v>
      </c>
      <c r="AC253" s="51" t="str">
        <f t="shared" si="4"/>
        <v>大阪府柏原市</v>
      </c>
      <c r="AD253" s="32">
        <v>10.42</v>
      </c>
      <c r="AE253" s="34">
        <v>10.33</v>
      </c>
      <c r="AF253" s="51">
        <v>10.27</v>
      </c>
      <c r="AG253" s="1"/>
    </row>
    <row r="254" spans="22:33">
      <c r="V254" s="4" t="s">
        <v>407</v>
      </c>
      <c r="W254" s="4" t="s">
        <v>1177</v>
      </c>
      <c r="X254" s="2"/>
      <c r="Y254" s="595" t="s">
        <v>959</v>
      </c>
      <c r="Z254" s="596">
        <v>0.06</v>
      </c>
      <c r="AA254" s="151" t="s">
        <v>605</v>
      </c>
      <c r="AB254" s="34" t="s">
        <v>1178</v>
      </c>
      <c r="AC254" s="51" t="str">
        <f t="shared" si="4"/>
        <v>大阪府羽曳野市</v>
      </c>
      <c r="AD254" s="32">
        <v>10.42</v>
      </c>
      <c r="AE254" s="34">
        <v>10.33</v>
      </c>
      <c r="AF254" s="51">
        <v>10.27</v>
      </c>
      <c r="AG254" s="1"/>
    </row>
    <row r="255" spans="22:33">
      <c r="V255" s="4" t="s">
        <v>407</v>
      </c>
      <c r="W255" s="4" t="s">
        <v>1179</v>
      </c>
      <c r="X255" s="2"/>
      <c r="Y255" s="595" t="s">
        <v>959</v>
      </c>
      <c r="Z255" s="596">
        <v>0.06</v>
      </c>
      <c r="AA255" s="151" t="s">
        <v>605</v>
      </c>
      <c r="AB255" s="34" t="s">
        <v>1180</v>
      </c>
      <c r="AC255" s="51" t="str">
        <f t="shared" si="4"/>
        <v>大阪府藤井寺市</v>
      </c>
      <c r="AD255" s="32">
        <v>10.42</v>
      </c>
      <c r="AE255" s="34">
        <v>10.33</v>
      </c>
      <c r="AF255" s="51">
        <v>10.27</v>
      </c>
      <c r="AG255" s="1"/>
    </row>
    <row r="256" spans="22:33">
      <c r="V256" s="4" t="s">
        <v>407</v>
      </c>
      <c r="W256" s="4" t="s">
        <v>1181</v>
      </c>
      <c r="X256" s="2"/>
      <c r="Y256" s="595" t="s">
        <v>959</v>
      </c>
      <c r="Z256" s="596">
        <v>0.06</v>
      </c>
      <c r="AA256" s="151" t="s">
        <v>605</v>
      </c>
      <c r="AB256" s="34" t="s">
        <v>1182</v>
      </c>
      <c r="AC256" s="51" t="str">
        <f t="shared" si="4"/>
        <v>大阪府泉南市</v>
      </c>
      <c r="AD256" s="32">
        <v>10.42</v>
      </c>
      <c r="AE256" s="34">
        <v>10.33</v>
      </c>
      <c r="AF256" s="51">
        <v>10.27</v>
      </c>
      <c r="AG256" s="1"/>
    </row>
    <row r="257" spans="22:33">
      <c r="V257" s="4" t="s">
        <v>407</v>
      </c>
      <c r="W257" s="4" t="s">
        <v>1183</v>
      </c>
      <c r="X257" s="2"/>
      <c r="Y257" s="595" t="s">
        <v>959</v>
      </c>
      <c r="Z257" s="596">
        <v>0.06</v>
      </c>
      <c r="AA257" s="151" t="s">
        <v>605</v>
      </c>
      <c r="AB257" s="34" t="s">
        <v>1184</v>
      </c>
      <c r="AC257" s="51" t="str">
        <f t="shared" si="4"/>
        <v>大阪府大阪狭山市</v>
      </c>
      <c r="AD257" s="32">
        <v>10.42</v>
      </c>
      <c r="AE257" s="34">
        <v>10.33</v>
      </c>
      <c r="AF257" s="51">
        <v>10.27</v>
      </c>
      <c r="AG257" s="1"/>
    </row>
    <row r="258" spans="22:33">
      <c r="V258" s="4" t="s">
        <v>407</v>
      </c>
      <c r="W258" s="4" t="s">
        <v>1185</v>
      </c>
      <c r="X258" s="2"/>
      <c r="Y258" s="595" t="s">
        <v>959</v>
      </c>
      <c r="Z258" s="596">
        <v>0.06</v>
      </c>
      <c r="AA258" s="151" t="s">
        <v>605</v>
      </c>
      <c r="AB258" s="34" t="s">
        <v>1186</v>
      </c>
      <c r="AC258" s="51" t="str">
        <f t="shared" si="4"/>
        <v>大阪府阪南市</v>
      </c>
      <c r="AD258" s="32">
        <v>10.42</v>
      </c>
      <c r="AE258" s="34">
        <v>10.33</v>
      </c>
      <c r="AF258" s="51">
        <v>10.27</v>
      </c>
      <c r="AG258" s="1"/>
    </row>
    <row r="259" spans="22:33">
      <c r="V259" s="4" t="s">
        <v>407</v>
      </c>
      <c r="W259" s="4" t="s">
        <v>1187</v>
      </c>
      <c r="X259" s="2"/>
      <c r="Y259" s="595" t="s">
        <v>959</v>
      </c>
      <c r="Z259" s="596">
        <v>0.06</v>
      </c>
      <c r="AA259" s="151" t="s">
        <v>605</v>
      </c>
      <c r="AB259" s="34" t="s">
        <v>1188</v>
      </c>
      <c r="AC259" s="51" t="str">
        <f t="shared" si="4"/>
        <v>大阪府島本町</v>
      </c>
      <c r="AD259" s="32">
        <v>10.42</v>
      </c>
      <c r="AE259" s="34">
        <v>10.33</v>
      </c>
      <c r="AF259" s="51">
        <v>10.27</v>
      </c>
      <c r="AG259" s="1"/>
    </row>
    <row r="260" spans="22:33">
      <c r="V260" s="4" t="s">
        <v>407</v>
      </c>
      <c r="W260" s="4" t="s">
        <v>1189</v>
      </c>
      <c r="X260" s="2"/>
      <c r="Y260" s="595" t="s">
        <v>959</v>
      </c>
      <c r="Z260" s="596">
        <v>0.06</v>
      </c>
      <c r="AA260" s="151" t="s">
        <v>605</v>
      </c>
      <c r="AB260" s="34" t="s">
        <v>1190</v>
      </c>
      <c r="AC260" s="51" t="str">
        <f t="shared" ref="AC260:AC323" si="5">AA260&amp;AB260</f>
        <v>大阪府豊能町</v>
      </c>
      <c r="AD260" s="32">
        <v>10.42</v>
      </c>
      <c r="AE260" s="34">
        <v>10.33</v>
      </c>
      <c r="AF260" s="51">
        <v>10.27</v>
      </c>
      <c r="AG260" s="1"/>
    </row>
    <row r="261" spans="22:33">
      <c r="V261" s="4" t="s">
        <v>415</v>
      </c>
      <c r="W261" s="4" t="s">
        <v>960</v>
      </c>
      <c r="X261" s="2"/>
      <c r="Y261" s="595" t="s">
        <v>959</v>
      </c>
      <c r="Z261" s="596">
        <v>0.06</v>
      </c>
      <c r="AA261" s="151" t="s">
        <v>605</v>
      </c>
      <c r="AB261" s="34" t="s">
        <v>1191</v>
      </c>
      <c r="AC261" s="51" t="str">
        <f t="shared" si="5"/>
        <v>大阪府能勢町</v>
      </c>
      <c r="AD261" s="32">
        <v>10.42</v>
      </c>
      <c r="AE261" s="34">
        <v>10.33</v>
      </c>
      <c r="AF261" s="51">
        <v>10.27</v>
      </c>
      <c r="AG261" s="1"/>
    </row>
    <row r="262" spans="22:33">
      <c r="V262" s="4" t="s">
        <v>415</v>
      </c>
      <c r="W262" s="4" t="s">
        <v>1192</v>
      </c>
      <c r="X262" s="2"/>
      <c r="Y262" s="595" t="s">
        <v>959</v>
      </c>
      <c r="Z262" s="596">
        <v>0.06</v>
      </c>
      <c r="AA262" s="151" t="s">
        <v>605</v>
      </c>
      <c r="AB262" s="34" t="s">
        <v>1193</v>
      </c>
      <c r="AC262" s="51" t="str">
        <f t="shared" si="5"/>
        <v>大阪府忠岡町</v>
      </c>
      <c r="AD262" s="32">
        <v>10.42</v>
      </c>
      <c r="AE262" s="34">
        <v>10.33</v>
      </c>
      <c r="AF262" s="51">
        <v>10.27</v>
      </c>
      <c r="AG262" s="1"/>
    </row>
    <row r="263" spans="22:33">
      <c r="V263" s="4" t="s">
        <v>415</v>
      </c>
      <c r="W263" s="4" t="s">
        <v>1194</v>
      </c>
      <c r="X263" s="2"/>
      <c r="Y263" s="595" t="s">
        <v>959</v>
      </c>
      <c r="Z263" s="596">
        <v>0.06</v>
      </c>
      <c r="AA263" s="151" t="s">
        <v>605</v>
      </c>
      <c r="AB263" s="34" t="s">
        <v>1195</v>
      </c>
      <c r="AC263" s="51" t="str">
        <f t="shared" si="5"/>
        <v>大阪府熊取町</v>
      </c>
      <c r="AD263" s="32">
        <v>10.42</v>
      </c>
      <c r="AE263" s="34">
        <v>10.33</v>
      </c>
      <c r="AF263" s="51">
        <v>10.27</v>
      </c>
      <c r="AG263" s="1"/>
    </row>
    <row r="264" spans="22:33">
      <c r="V264" s="4" t="s">
        <v>415</v>
      </c>
      <c r="W264" s="4" t="s">
        <v>1196</v>
      </c>
      <c r="X264" s="2"/>
      <c r="Y264" s="595" t="s">
        <v>959</v>
      </c>
      <c r="Z264" s="596">
        <v>0.06</v>
      </c>
      <c r="AA264" s="151" t="s">
        <v>605</v>
      </c>
      <c r="AB264" s="34" t="s">
        <v>1197</v>
      </c>
      <c r="AC264" s="51" t="str">
        <f t="shared" si="5"/>
        <v>大阪府田尻町</v>
      </c>
      <c r="AD264" s="32">
        <v>10.42</v>
      </c>
      <c r="AE264" s="34">
        <v>10.33</v>
      </c>
      <c r="AF264" s="51">
        <v>10.27</v>
      </c>
      <c r="AG264" s="1"/>
    </row>
    <row r="265" spans="22:33">
      <c r="V265" s="4" t="s">
        <v>415</v>
      </c>
      <c r="W265" s="4" t="s">
        <v>1198</v>
      </c>
      <c r="X265" s="2"/>
      <c r="Y265" s="595" t="s">
        <v>959</v>
      </c>
      <c r="Z265" s="596">
        <v>0.06</v>
      </c>
      <c r="AA265" s="151" t="s">
        <v>605</v>
      </c>
      <c r="AB265" s="34" t="s">
        <v>1199</v>
      </c>
      <c r="AC265" s="51" t="str">
        <f t="shared" si="5"/>
        <v>大阪府岬町</v>
      </c>
      <c r="AD265" s="32">
        <v>10.42</v>
      </c>
      <c r="AE265" s="34">
        <v>10.33</v>
      </c>
      <c r="AF265" s="51">
        <v>10.27</v>
      </c>
      <c r="AG265" s="1"/>
    </row>
    <row r="266" spans="22:33">
      <c r="V266" s="4" t="s">
        <v>415</v>
      </c>
      <c r="W266" s="4" t="s">
        <v>1200</v>
      </c>
      <c r="X266" s="2"/>
      <c r="Y266" s="595" t="s">
        <v>959</v>
      </c>
      <c r="Z266" s="596">
        <v>0.06</v>
      </c>
      <c r="AA266" s="151" t="s">
        <v>605</v>
      </c>
      <c r="AB266" s="34" t="s">
        <v>1201</v>
      </c>
      <c r="AC266" s="51" t="str">
        <f t="shared" si="5"/>
        <v>大阪府太子町</v>
      </c>
      <c r="AD266" s="32">
        <v>10.42</v>
      </c>
      <c r="AE266" s="34">
        <v>10.33</v>
      </c>
      <c r="AF266" s="51">
        <v>10.27</v>
      </c>
      <c r="AG266" s="1"/>
    </row>
    <row r="267" spans="22:33">
      <c r="V267" s="4" t="s">
        <v>415</v>
      </c>
      <c r="W267" s="4" t="s">
        <v>1202</v>
      </c>
      <c r="X267" s="2"/>
      <c r="Y267" s="595" t="s">
        <v>959</v>
      </c>
      <c r="Z267" s="596">
        <v>0.06</v>
      </c>
      <c r="AA267" s="151" t="s">
        <v>605</v>
      </c>
      <c r="AB267" s="34" t="s">
        <v>1203</v>
      </c>
      <c r="AC267" s="51" t="str">
        <f t="shared" si="5"/>
        <v>大阪府河南町</v>
      </c>
      <c r="AD267" s="32">
        <v>10.42</v>
      </c>
      <c r="AE267" s="34">
        <v>10.33</v>
      </c>
      <c r="AF267" s="51">
        <v>10.27</v>
      </c>
      <c r="AG267" s="1"/>
    </row>
    <row r="268" spans="22:33">
      <c r="V268" s="4" t="s">
        <v>415</v>
      </c>
      <c r="W268" s="4" t="s">
        <v>1204</v>
      </c>
      <c r="X268" s="2"/>
      <c r="Y268" s="595" t="s">
        <v>959</v>
      </c>
      <c r="Z268" s="596">
        <v>0.06</v>
      </c>
      <c r="AA268" s="151" t="s">
        <v>605</v>
      </c>
      <c r="AB268" s="34" t="s">
        <v>1205</v>
      </c>
      <c r="AC268" s="51" t="str">
        <f t="shared" si="5"/>
        <v>大阪府千早赤阪村</v>
      </c>
      <c r="AD268" s="32">
        <v>10.42</v>
      </c>
      <c r="AE268" s="34">
        <v>10.33</v>
      </c>
      <c r="AF268" s="51">
        <v>10.27</v>
      </c>
      <c r="AG268" s="1"/>
    </row>
    <row r="269" spans="22:33">
      <c r="V269" s="4" t="s">
        <v>415</v>
      </c>
      <c r="W269" s="4" t="s">
        <v>1206</v>
      </c>
      <c r="X269" s="2"/>
      <c r="Y269" s="595" t="s">
        <v>959</v>
      </c>
      <c r="Z269" s="596">
        <v>0.06</v>
      </c>
      <c r="AA269" s="151" t="s">
        <v>615</v>
      </c>
      <c r="AB269" s="34" t="s">
        <v>1207</v>
      </c>
      <c r="AC269" s="51" t="str">
        <f t="shared" si="5"/>
        <v>兵庫県明石市</v>
      </c>
      <c r="AD269" s="32">
        <v>10.42</v>
      </c>
      <c r="AE269" s="34">
        <v>10.33</v>
      </c>
      <c r="AF269" s="51">
        <v>10.27</v>
      </c>
      <c r="AG269" s="1"/>
    </row>
    <row r="270" spans="22:33">
      <c r="V270" s="4" t="s">
        <v>415</v>
      </c>
      <c r="W270" s="4" t="s">
        <v>1208</v>
      </c>
      <c r="X270" s="2"/>
      <c r="Y270" s="595" t="s">
        <v>959</v>
      </c>
      <c r="Z270" s="596">
        <v>0.06</v>
      </c>
      <c r="AA270" s="151" t="s">
        <v>615</v>
      </c>
      <c r="AB270" s="34" t="s">
        <v>1209</v>
      </c>
      <c r="AC270" s="51" t="str">
        <f t="shared" si="5"/>
        <v>兵庫県猪名川町</v>
      </c>
      <c r="AD270" s="32">
        <v>10.42</v>
      </c>
      <c r="AE270" s="34">
        <v>10.33</v>
      </c>
      <c r="AF270" s="51">
        <v>10.27</v>
      </c>
      <c r="AG270" s="1"/>
    </row>
    <row r="271" spans="22:33">
      <c r="V271" s="4" t="s">
        <v>415</v>
      </c>
      <c r="W271" s="4" t="s">
        <v>1210</v>
      </c>
      <c r="X271" s="2"/>
      <c r="Y271" s="595" t="s">
        <v>959</v>
      </c>
      <c r="Z271" s="596">
        <v>0.06</v>
      </c>
      <c r="AA271" s="151" t="s">
        <v>623</v>
      </c>
      <c r="AB271" s="34" t="s">
        <v>1211</v>
      </c>
      <c r="AC271" s="51" t="str">
        <f t="shared" si="5"/>
        <v>奈良県奈良市</v>
      </c>
      <c r="AD271" s="32">
        <v>10.42</v>
      </c>
      <c r="AE271" s="34">
        <v>10.33</v>
      </c>
      <c r="AF271" s="51">
        <v>10.27</v>
      </c>
      <c r="AG271" s="1"/>
    </row>
    <row r="272" spans="22:33">
      <c r="V272" s="4" t="s">
        <v>415</v>
      </c>
      <c r="W272" s="4" t="s">
        <v>1212</v>
      </c>
      <c r="X272" s="2"/>
      <c r="Y272" s="595" t="s">
        <v>959</v>
      </c>
      <c r="Z272" s="596">
        <v>0.06</v>
      </c>
      <c r="AA272" s="151" t="s">
        <v>623</v>
      </c>
      <c r="AB272" s="34" t="s">
        <v>1213</v>
      </c>
      <c r="AC272" s="51" t="str">
        <f t="shared" si="5"/>
        <v>奈良県大和郡山市</v>
      </c>
      <c r="AD272" s="32">
        <v>10.42</v>
      </c>
      <c r="AE272" s="34">
        <v>10.33</v>
      </c>
      <c r="AF272" s="51">
        <v>10.27</v>
      </c>
      <c r="AG272" s="1"/>
    </row>
    <row r="273" spans="22:33">
      <c r="V273" s="4" t="s">
        <v>415</v>
      </c>
      <c r="W273" s="4" t="s">
        <v>1214</v>
      </c>
      <c r="X273" s="2"/>
      <c r="Y273" s="595" t="s">
        <v>959</v>
      </c>
      <c r="Z273" s="596">
        <v>0.06</v>
      </c>
      <c r="AA273" s="151" t="s">
        <v>623</v>
      </c>
      <c r="AB273" s="34" t="s">
        <v>1215</v>
      </c>
      <c r="AC273" s="51" t="str">
        <f t="shared" si="5"/>
        <v>奈良県生駒市</v>
      </c>
      <c r="AD273" s="32">
        <v>10.42</v>
      </c>
      <c r="AE273" s="34">
        <v>10.33</v>
      </c>
      <c r="AF273" s="51">
        <v>10.27</v>
      </c>
      <c r="AG273" s="1"/>
    </row>
    <row r="274" spans="22:33">
      <c r="V274" s="4" t="s">
        <v>415</v>
      </c>
      <c r="W274" s="4" t="s">
        <v>1216</v>
      </c>
      <c r="X274" s="2"/>
      <c r="Y274" s="595" t="s">
        <v>959</v>
      </c>
      <c r="Z274" s="596">
        <v>0.06</v>
      </c>
      <c r="AA274" s="151" t="s">
        <v>632</v>
      </c>
      <c r="AB274" s="34" t="s">
        <v>1217</v>
      </c>
      <c r="AC274" s="51" t="str">
        <f t="shared" si="5"/>
        <v>和歌山県和歌山市</v>
      </c>
      <c r="AD274" s="32">
        <v>10.42</v>
      </c>
      <c r="AE274" s="34">
        <v>10.33</v>
      </c>
      <c r="AF274" s="51">
        <v>10.27</v>
      </c>
      <c r="AG274" s="1"/>
    </row>
    <row r="275" spans="22:33">
      <c r="V275" s="4" t="s">
        <v>415</v>
      </c>
      <c r="W275" s="4" t="s">
        <v>1218</v>
      </c>
      <c r="X275" s="2"/>
      <c r="Y275" s="595" t="s">
        <v>959</v>
      </c>
      <c r="Z275" s="596">
        <v>0.06</v>
      </c>
      <c r="AA275" s="151" t="s">
        <v>632</v>
      </c>
      <c r="AB275" s="34" t="s">
        <v>1219</v>
      </c>
      <c r="AC275" s="51" t="str">
        <f t="shared" si="5"/>
        <v>和歌山県橋本市</v>
      </c>
      <c r="AD275" s="32">
        <v>10.42</v>
      </c>
      <c r="AE275" s="34">
        <v>10.33</v>
      </c>
      <c r="AF275" s="51">
        <v>10.27</v>
      </c>
      <c r="AG275" s="1"/>
    </row>
    <row r="276" spans="22:33">
      <c r="V276" s="4" t="s">
        <v>415</v>
      </c>
      <c r="W276" s="4" t="s">
        <v>1220</v>
      </c>
      <c r="X276" s="2"/>
      <c r="Y276" s="595" t="s">
        <v>959</v>
      </c>
      <c r="Z276" s="596">
        <v>0.06</v>
      </c>
      <c r="AA276" s="151" t="s">
        <v>709</v>
      </c>
      <c r="AB276" s="34" t="s">
        <v>1221</v>
      </c>
      <c r="AC276" s="51" t="str">
        <f t="shared" si="5"/>
        <v>福岡県大野城市</v>
      </c>
      <c r="AD276" s="32">
        <v>10.42</v>
      </c>
      <c r="AE276" s="34">
        <v>10.33</v>
      </c>
      <c r="AF276" s="51">
        <v>10.27</v>
      </c>
      <c r="AG276" s="1"/>
    </row>
    <row r="277" spans="22:33">
      <c r="V277" s="4" t="s">
        <v>415</v>
      </c>
      <c r="W277" s="4" t="s">
        <v>1222</v>
      </c>
      <c r="X277" s="2"/>
      <c r="Y277" s="595" t="s">
        <v>959</v>
      </c>
      <c r="Z277" s="596">
        <v>0.06</v>
      </c>
      <c r="AA277" s="151" t="s">
        <v>709</v>
      </c>
      <c r="AB277" s="34" t="s">
        <v>1223</v>
      </c>
      <c r="AC277" s="51" t="str">
        <f t="shared" si="5"/>
        <v>福岡県太宰府市</v>
      </c>
      <c r="AD277" s="32">
        <v>10.42</v>
      </c>
      <c r="AE277" s="34">
        <v>10.33</v>
      </c>
      <c r="AF277" s="51">
        <v>10.27</v>
      </c>
      <c r="AG277" s="1"/>
    </row>
    <row r="278" spans="22:33">
      <c r="V278" s="4" t="s">
        <v>415</v>
      </c>
      <c r="W278" s="4" t="s">
        <v>1224</v>
      </c>
      <c r="X278" s="2"/>
      <c r="Y278" s="595" t="s">
        <v>959</v>
      </c>
      <c r="Z278" s="596">
        <v>0.06</v>
      </c>
      <c r="AA278" s="151" t="s">
        <v>709</v>
      </c>
      <c r="AB278" s="34" t="s">
        <v>1225</v>
      </c>
      <c r="AC278" s="51" t="str">
        <f t="shared" si="5"/>
        <v>福岡県福津市</v>
      </c>
      <c r="AD278" s="32">
        <v>10.42</v>
      </c>
      <c r="AE278" s="34">
        <v>10.33</v>
      </c>
      <c r="AF278" s="51">
        <v>10.27</v>
      </c>
      <c r="AG278" s="1"/>
    </row>
    <row r="279" spans="22:33">
      <c r="V279" s="4" t="s">
        <v>415</v>
      </c>
      <c r="W279" s="4" t="s">
        <v>1226</v>
      </c>
      <c r="X279" s="2"/>
      <c r="Y279" s="595" t="s">
        <v>959</v>
      </c>
      <c r="Z279" s="596">
        <v>0.06</v>
      </c>
      <c r="AA279" s="151" t="s">
        <v>709</v>
      </c>
      <c r="AB279" s="34" t="s">
        <v>1227</v>
      </c>
      <c r="AC279" s="51" t="str">
        <f t="shared" si="5"/>
        <v>福岡県糸島市</v>
      </c>
      <c r="AD279" s="32">
        <v>10.42</v>
      </c>
      <c r="AE279" s="34">
        <v>10.33</v>
      </c>
      <c r="AF279" s="51">
        <v>10.27</v>
      </c>
      <c r="AG279" s="1"/>
    </row>
    <row r="280" spans="22:33">
      <c r="V280" s="4" t="s">
        <v>415</v>
      </c>
      <c r="W280" s="4" t="s">
        <v>1228</v>
      </c>
      <c r="X280" s="2"/>
      <c r="Y280" s="595" t="s">
        <v>959</v>
      </c>
      <c r="Z280" s="596">
        <v>0.06</v>
      </c>
      <c r="AA280" s="151" t="s">
        <v>709</v>
      </c>
      <c r="AB280" s="34" t="s">
        <v>1229</v>
      </c>
      <c r="AC280" s="51" t="str">
        <f t="shared" si="5"/>
        <v>福岡県那珂川市</v>
      </c>
      <c r="AD280" s="32">
        <v>10.42</v>
      </c>
      <c r="AE280" s="34">
        <v>10.33</v>
      </c>
      <c r="AF280" s="51">
        <v>10.27</v>
      </c>
      <c r="AG280" s="1"/>
    </row>
    <row r="281" spans="22:33" ht="14.25" thickBot="1">
      <c r="V281" s="4" t="s">
        <v>415</v>
      </c>
      <c r="W281" s="4" t="s">
        <v>1230</v>
      </c>
      <c r="X281" s="2"/>
      <c r="Y281" s="601" t="s">
        <v>959</v>
      </c>
      <c r="Z281" s="602">
        <v>0.06</v>
      </c>
      <c r="AA281" s="154" t="s">
        <v>709</v>
      </c>
      <c r="AB281" s="48" t="s">
        <v>1231</v>
      </c>
      <c r="AC281" s="60" t="str">
        <f t="shared" si="5"/>
        <v>福岡県粕屋町</v>
      </c>
      <c r="AD281" s="49">
        <v>10.42</v>
      </c>
      <c r="AE281" s="48">
        <v>10.33</v>
      </c>
      <c r="AF281" s="69">
        <v>10.27</v>
      </c>
      <c r="AG281" s="1"/>
    </row>
    <row r="282" spans="22:33">
      <c r="V282" s="4" t="s">
        <v>415</v>
      </c>
      <c r="W282" s="4" t="s">
        <v>1232</v>
      </c>
      <c r="X282" s="2"/>
      <c r="Y282" s="593" t="s">
        <v>1233</v>
      </c>
      <c r="Z282" s="594">
        <v>0.03</v>
      </c>
      <c r="AA282" s="150" t="s">
        <v>1234</v>
      </c>
      <c r="AB282" s="50" t="s">
        <v>381</v>
      </c>
      <c r="AC282" s="54" t="str">
        <f t="shared" si="5"/>
        <v>北海道札幌市</v>
      </c>
      <c r="AD282" s="61">
        <v>10.210000000000001</v>
      </c>
      <c r="AE282" s="50">
        <v>10.17</v>
      </c>
      <c r="AF282" s="53">
        <v>10.14</v>
      </c>
      <c r="AG282" s="1"/>
    </row>
    <row r="283" spans="22:33">
      <c r="V283" s="4" t="s">
        <v>415</v>
      </c>
      <c r="W283" s="4" t="s">
        <v>1235</v>
      </c>
      <c r="X283" s="2"/>
      <c r="Y283" s="595" t="s">
        <v>1233</v>
      </c>
      <c r="Z283" s="596">
        <v>0.03</v>
      </c>
      <c r="AA283" s="608" t="s">
        <v>448</v>
      </c>
      <c r="AB283" s="34" t="s">
        <v>1236</v>
      </c>
      <c r="AC283" s="43" t="str">
        <f t="shared" si="5"/>
        <v>茨城県結城市</v>
      </c>
      <c r="AD283" s="32">
        <v>10.210000000000001</v>
      </c>
      <c r="AE283" s="34">
        <v>10.17</v>
      </c>
      <c r="AF283" s="51">
        <v>10.14</v>
      </c>
      <c r="AG283" s="1"/>
    </row>
    <row r="284" spans="22:33">
      <c r="V284" s="4" t="s">
        <v>415</v>
      </c>
      <c r="W284" s="4" t="s">
        <v>1237</v>
      </c>
      <c r="X284" s="2"/>
      <c r="Y284" s="595" t="s">
        <v>1233</v>
      </c>
      <c r="Z284" s="596">
        <v>0.03</v>
      </c>
      <c r="AA284" s="608" t="s">
        <v>448</v>
      </c>
      <c r="AB284" s="34" t="s">
        <v>1238</v>
      </c>
      <c r="AC284" s="43" t="str">
        <f t="shared" si="5"/>
        <v>茨城県下妻市</v>
      </c>
      <c r="AD284" s="32">
        <v>10.210000000000001</v>
      </c>
      <c r="AE284" s="34">
        <v>10.17</v>
      </c>
      <c r="AF284" s="51">
        <v>10.14</v>
      </c>
      <c r="AG284" s="1"/>
    </row>
    <row r="285" spans="22:33">
      <c r="V285" s="4" t="s">
        <v>415</v>
      </c>
      <c r="W285" s="4" t="s">
        <v>1239</v>
      </c>
      <c r="X285" s="2"/>
      <c r="Y285" s="595" t="s">
        <v>1233</v>
      </c>
      <c r="Z285" s="596">
        <v>0.03</v>
      </c>
      <c r="AA285" s="608" t="s">
        <v>448</v>
      </c>
      <c r="AB285" s="34" t="s">
        <v>1240</v>
      </c>
      <c r="AC285" s="43" t="str">
        <f t="shared" si="5"/>
        <v>茨城県常総市</v>
      </c>
      <c r="AD285" s="32">
        <v>10.210000000000001</v>
      </c>
      <c r="AE285" s="34">
        <v>10.17</v>
      </c>
      <c r="AF285" s="51">
        <v>10.14</v>
      </c>
      <c r="AG285" s="1"/>
    </row>
    <row r="286" spans="22:33">
      <c r="V286" s="4" t="s">
        <v>415</v>
      </c>
      <c r="W286" s="4" t="s">
        <v>1241</v>
      </c>
      <c r="X286" s="2"/>
      <c r="Y286" s="595" t="s">
        <v>1233</v>
      </c>
      <c r="Z286" s="596">
        <v>0.03</v>
      </c>
      <c r="AA286" s="608" t="s">
        <v>448</v>
      </c>
      <c r="AB286" s="34" t="s">
        <v>1242</v>
      </c>
      <c r="AC286" s="43" t="str">
        <f t="shared" si="5"/>
        <v>茨城県笠間市</v>
      </c>
      <c r="AD286" s="32">
        <v>10.210000000000001</v>
      </c>
      <c r="AE286" s="34">
        <v>10.17</v>
      </c>
      <c r="AF286" s="51">
        <v>10.14</v>
      </c>
      <c r="AG286" s="1"/>
    </row>
    <row r="287" spans="22:33">
      <c r="V287" s="4" t="s">
        <v>415</v>
      </c>
      <c r="W287" s="4" t="s">
        <v>1243</v>
      </c>
      <c r="X287" s="2"/>
      <c r="Y287" s="595" t="s">
        <v>1233</v>
      </c>
      <c r="Z287" s="596">
        <v>0.03</v>
      </c>
      <c r="AA287" s="608" t="s">
        <v>448</v>
      </c>
      <c r="AB287" s="34" t="s">
        <v>1244</v>
      </c>
      <c r="AC287" s="43" t="str">
        <f t="shared" si="5"/>
        <v>茨城県ひたちなか市</v>
      </c>
      <c r="AD287" s="32">
        <v>10.210000000000001</v>
      </c>
      <c r="AE287" s="34">
        <v>10.17</v>
      </c>
      <c r="AF287" s="51">
        <v>10.14</v>
      </c>
      <c r="AG287" s="1"/>
    </row>
    <row r="288" spans="22:33">
      <c r="V288" s="4" t="s">
        <v>415</v>
      </c>
      <c r="W288" s="4" t="s">
        <v>1245</v>
      </c>
      <c r="X288" s="2"/>
      <c r="Y288" s="595" t="s">
        <v>1233</v>
      </c>
      <c r="Z288" s="596">
        <v>0.03</v>
      </c>
      <c r="AA288" s="608" t="s">
        <v>448</v>
      </c>
      <c r="AB288" s="34" t="s">
        <v>1246</v>
      </c>
      <c r="AC288" s="43" t="str">
        <f t="shared" si="5"/>
        <v>茨城県那珂市</v>
      </c>
      <c r="AD288" s="32">
        <v>10.210000000000001</v>
      </c>
      <c r="AE288" s="34">
        <v>10.17</v>
      </c>
      <c r="AF288" s="51">
        <v>10.14</v>
      </c>
      <c r="AG288" s="1"/>
    </row>
    <row r="289" spans="22:33">
      <c r="V289" s="4" t="s">
        <v>415</v>
      </c>
      <c r="W289" s="4" t="s">
        <v>1247</v>
      </c>
      <c r="X289" s="2"/>
      <c r="Y289" s="595" t="s">
        <v>1233</v>
      </c>
      <c r="Z289" s="596">
        <v>0.03</v>
      </c>
      <c r="AA289" s="608" t="s">
        <v>448</v>
      </c>
      <c r="AB289" s="34" t="s">
        <v>1248</v>
      </c>
      <c r="AC289" s="43" t="str">
        <f t="shared" si="5"/>
        <v>茨城県筑西市</v>
      </c>
      <c r="AD289" s="32">
        <v>10.210000000000001</v>
      </c>
      <c r="AE289" s="34">
        <v>10.17</v>
      </c>
      <c r="AF289" s="51">
        <v>10.14</v>
      </c>
      <c r="AG289" s="1"/>
    </row>
    <row r="290" spans="22:33">
      <c r="V290" s="4" t="s">
        <v>415</v>
      </c>
      <c r="W290" s="4" t="s">
        <v>1249</v>
      </c>
      <c r="X290" s="2"/>
      <c r="Y290" s="595" t="s">
        <v>1233</v>
      </c>
      <c r="Z290" s="596">
        <v>0.03</v>
      </c>
      <c r="AA290" s="608" t="s">
        <v>448</v>
      </c>
      <c r="AB290" s="34" t="s">
        <v>1250</v>
      </c>
      <c r="AC290" s="43" t="str">
        <f t="shared" si="5"/>
        <v>茨城県坂東市</v>
      </c>
      <c r="AD290" s="32">
        <v>10.210000000000001</v>
      </c>
      <c r="AE290" s="34">
        <v>10.17</v>
      </c>
      <c r="AF290" s="51">
        <v>10.14</v>
      </c>
      <c r="AG290" s="1"/>
    </row>
    <row r="291" spans="22:33">
      <c r="V291" s="4" t="s">
        <v>415</v>
      </c>
      <c r="W291" s="4" t="s">
        <v>1251</v>
      </c>
      <c r="X291" s="2"/>
      <c r="Y291" s="595" t="s">
        <v>1233</v>
      </c>
      <c r="Z291" s="596">
        <v>0.03</v>
      </c>
      <c r="AA291" s="608" t="s">
        <v>448</v>
      </c>
      <c r="AB291" s="34" t="s">
        <v>1252</v>
      </c>
      <c r="AC291" s="43" t="str">
        <f t="shared" si="5"/>
        <v>茨城県稲敷市</v>
      </c>
      <c r="AD291" s="32">
        <v>10.210000000000001</v>
      </c>
      <c r="AE291" s="34">
        <v>10.17</v>
      </c>
      <c r="AF291" s="51">
        <v>10.14</v>
      </c>
      <c r="AG291" s="1"/>
    </row>
    <row r="292" spans="22:33">
      <c r="V292" s="4" t="s">
        <v>415</v>
      </c>
      <c r="W292" s="4" t="s">
        <v>1253</v>
      </c>
      <c r="X292" s="2"/>
      <c r="Y292" s="595" t="s">
        <v>1233</v>
      </c>
      <c r="Z292" s="596">
        <v>0.03</v>
      </c>
      <c r="AA292" s="608" t="s">
        <v>448</v>
      </c>
      <c r="AB292" s="34" t="s">
        <v>1254</v>
      </c>
      <c r="AC292" s="43" t="str">
        <f t="shared" si="5"/>
        <v>茨城県つくばみらい市</v>
      </c>
      <c r="AD292" s="32">
        <v>10.210000000000001</v>
      </c>
      <c r="AE292" s="34">
        <v>10.17</v>
      </c>
      <c r="AF292" s="51">
        <v>10.14</v>
      </c>
      <c r="AG292" s="1"/>
    </row>
    <row r="293" spans="22:33">
      <c r="V293" s="4" t="s">
        <v>415</v>
      </c>
      <c r="W293" s="4" t="s">
        <v>1255</v>
      </c>
      <c r="X293" s="2"/>
      <c r="Y293" s="595" t="s">
        <v>1233</v>
      </c>
      <c r="Z293" s="596">
        <v>0.03</v>
      </c>
      <c r="AA293" s="608" t="s">
        <v>448</v>
      </c>
      <c r="AB293" s="34" t="s">
        <v>1256</v>
      </c>
      <c r="AC293" s="43" t="str">
        <f t="shared" si="5"/>
        <v>茨城県大洗町</v>
      </c>
      <c r="AD293" s="32">
        <v>10.210000000000001</v>
      </c>
      <c r="AE293" s="34">
        <v>10.17</v>
      </c>
      <c r="AF293" s="51">
        <v>10.14</v>
      </c>
      <c r="AG293" s="1"/>
    </row>
    <row r="294" spans="22:33">
      <c r="V294" s="4" t="s">
        <v>415</v>
      </c>
      <c r="W294" s="4" t="s">
        <v>1257</v>
      </c>
      <c r="X294" s="2"/>
      <c r="Y294" s="595" t="s">
        <v>1233</v>
      </c>
      <c r="Z294" s="596">
        <v>0.03</v>
      </c>
      <c r="AA294" s="608" t="s">
        <v>448</v>
      </c>
      <c r="AB294" s="34" t="s">
        <v>1258</v>
      </c>
      <c r="AC294" s="43" t="str">
        <f t="shared" si="5"/>
        <v>茨城県阿見町</v>
      </c>
      <c r="AD294" s="32">
        <v>10.210000000000001</v>
      </c>
      <c r="AE294" s="34">
        <v>10.17</v>
      </c>
      <c r="AF294" s="51">
        <v>10.14</v>
      </c>
      <c r="AG294" s="1"/>
    </row>
    <row r="295" spans="22:33">
      <c r="V295" s="4" t="s">
        <v>415</v>
      </c>
      <c r="W295" s="4" t="s">
        <v>1259</v>
      </c>
      <c r="X295" s="2"/>
      <c r="Y295" s="595" t="s">
        <v>1233</v>
      </c>
      <c r="Z295" s="596">
        <v>0.03</v>
      </c>
      <c r="AA295" s="608" t="s">
        <v>448</v>
      </c>
      <c r="AB295" s="34" t="s">
        <v>1260</v>
      </c>
      <c r="AC295" s="43" t="str">
        <f t="shared" si="5"/>
        <v>茨城県河内町</v>
      </c>
      <c r="AD295" s="32">
        <v>10.210000000000001</v>
      </c>
      <c r="AE295" s="34">
        <v>10.17</v>
      </c>
      <c r="AF295" s="51">
        <v>10.14</v>
      </c>
      <c r="AG295" s="1"/>
    </row>
    <row r="296" spans="22:33">
      <c r="V296" s="4" t="s">
        <v>423</v>
      </c>
      <c r="W296" s="4" t="s">
        <v>1261</v>
      </c>
      <c r="X296" s="2"/>
      <c r="Y296" s="595" t="s">
        <v>1233</v>
      </c>
      <c r="Z296" s="596">
        <v>0.03</v>
      </c>
      <c r="AA296" s="608" t="s">
        <v>448</v>
      </c>
      <c r="AB296" s="34" t="s">
        <v>1262</v>
      </c>
      <c r="AC296" s="43" t="str">
        <f t="shared" si="5"/>
        <v>茨城県八千代町</v>
      </c>
      <c r="AD296" s="32">
        <v>10.210000000000001</v>
      </c>
      <c r="AE296" s="34">
        <v>10.17</v>
      </c>
      <c r="AF296" s="51">
        <v>10.14</v>
      </c>
      <c r="AG296" s="1"/>
    </row>
    <row r="297" spans="22:33">
      <c r="V297" s="4" t="s">
        <v>423</v>
      </c>
      <c r="W297" s="4" t="s">
        <v>1263</v>
      </c>
      <c r="X297" s="2"/>
      <c r="Y297" s="595" t="s">
        <v>1233</v>
      </c>
      <c r="Z297" s="596">
        <v>0.03</v>
      </c>
      <c r="AA297" s="608" t="s">
        <v>448</v>
      </c>
      <c r="AB297" s="34" t="s">
        <v>1264</v>
      </c>
      <c r="AC297" s="43" t="str">
        <f t="shared" si="5"/>
        <v>茨城県五霞町</v>
      </c>
      <c r="AD297" s="32">
        <v>10.210000000000001</v>
      </c>
      <c r="AE297" s="34">
        <v>10.17</v>
      </c>
      <c r="AF297" s="51">
        <v>10.14</v>
      </c>
      <c r="AG297" s="1"/>
    </row>
    <row r="298" spans="22:33">
      <c r="V298" s="4" t="s">
        <v>423</v>
      </c>
      <c r="W298" s="4" t="s">
        <v>1265</v>
      </c>
      <c r="X298" s="2"/>
      <c r="Y298" s="595" t="s">
        <v>1233</v>
      </c>
      <c r="Z298" s="596">
        <v>0.03</v>
      </c>
      <c r="AA298" s="608" t="s">
        <v>448</v>
      </c>
      <c r="AB298" s="34" t="s">
        <v>1266</v>
      </c>
      <c r="AC298" s="43" t="str">
        <f t="shared" si="5"/>
        <v>茨城県境町</v>
      </c>
      <c r="AD298" s="32">
        <v>10.210000000000001</v>
      </c>
      <c r="AE298" s="34">
        <v>10.17</v>
      </c>
      <c r="AF298" s="51">
        <v>10.14</v>
      </c>
      <c r="AG298" s="1"/>
    </row>
    <row r="299" spans="22:33">
      <c r="V299" s="4" t="s">
        <v>423</v>
      </c>
      <c r="W299" s="4" t="s">
        <v>1267</v>
      </c>
      <c r="X299" s="2"/>
      <c r="Y299" s="595" t="s">
        <v>1233</v>
      </c>
      <c r="Z299" s="596">
        <v>0.03</v>
      </c>
      <c r="AA299" s="608" t="s">
        <v>456</v>
      </c>
      <c r="AB299" s="34" t="s">
        <v>1268</v>
      </c>
      <c r="AC299" s="43" t="str">
        <f t="shared" si="5"/>
        <v>栃木県栃木市</v>
      </c>
      <c r="AD299" s="32">
        <v>10.210000000000001</v>
      </c>
      <c r="AE299" s="34">
        <v>10.17</v>
      </c>
      <c r="AF299" s="51">
        <v>10.14</v>
      </c>
      <c r="AG299" s="1"/>
    </row>
    <row r="300" spans="22:33">
      <c r="V300" s="4" t="s">
        <v>423</v>
      </c>
      <c r="W300" s="4" t="s">
        <v>1269</v>
      </c>
      <c r="X300" s="2"/>
      <c r="Y300" s="595" t="s">
        <v>1233</v>
      </c>
      <c r="Z300" s="596">
        <v>0.03</v>
      </c>
      <c r="AA300" s="608" t="s">
        <v>456</v>
      </c>
      <c r="AB300" s="34" t="s">
        <v>1270</v>
      </c>
      <c r="AC300" s="43" t="str">
        <f t="shared" si="5"/>
        <v>栃木県鹿沼市</v>
      </c>
      <c r="AD300" s="32">
        <v>10.210000000000001</v>
      </c>
      <c r="AE300" s="34">
        <v>10.17</v>
      </c>
      <c r="AF300" s="51">
        <v>10.14</v>
      </c>
      <c r="AG300" s="1"/>
    </row>
    <row r="301" spans="22:33">
      <c r="V301" s="4" t="s">
        <v>423</v>
      </c>
      <c r="W301" s="4" t="s">
        <v>1271</v>
      </c>
      <c r="X301" s="2"/>
      <c r="Y301" s="595" t="s">
        <v>1233</v>
      </c>
      <c r="Z301" s="596">
        <v>0.03</v>
      </c>
      <c r="AA301" s="608" t="s">
        <v>456</v>
      </c>
      <c r="AB301" s="34" t="s">
        <v>1272</v>
      </c>
      <c r="AC301" s="43" t="str">
        <f t="shared" si="5"/>
        <v>栃木県日光市</v>
      </c>
      <c r="AD301" s="32">
        <v>10.210000000000001</v>
      </c>
      <c r="AE301" s="34">
        <v>10.17</v>
      </c>
      <c r="AF301" s="51">
        <v>10.14</v>
      </c>
      <c r="AG301" s="1"/>
    </row>
    <row r="302" spans="22:33">
      <c r="V302" s="4" t="s">
        <v>423</v>
      </c>
      <c r="W302" s="4" t="s">
        <v>1273</v>
      </c>
      <c r="X302" s="2"/>
      <c r="Y302" s="595" t="s">
        <v>1233</v>
      </c>
      <c r="Z302" s="596">
        <v>0.03</v>
      </c>
      <c r="AA302" s="608" t="s">
        <v>456</v>
      </c>
      <c r="AB302" s="34" t="s">
        <v>1274</v>
      </c>
      <c r="AC302" s="43" t="str">
        <f t="shared" si="5"/>
        <v>栃木県小山市</v>
      </c>
      <c r="AD302" s="32">
        <v>10.210000000000001</v>
      </c>
      <c r="AE302" s="34">
        <v>10.17</v>
      </c>
      <c r="AF302" s="51">
        <v>10.14</v>
      </c>
      <c r="AG302" s="1"/>
    </row>
    <row r="303" spans="22:33">
      <c r="V303" s="4" t="s">
        <v>423</v>
      </c>
      <c r="W303" s="4" t="s">
        <v>1275</v>
      </c>
      <c r="X303" s="2"/>
      <c r="Y303" s="595" t="s">
        <v>1233</v>
      </c>
      <c r="Z303" s="596">
        <v>0.03</v>
      </c>
      <c r="AA303" s="608" t="s">
        <v>456</v>
      </c>
      <c r="AB303" s="34" t="s">
        <v>1276</v>
      </c>
      <c r="AC303" s="43" t="str">
        <f t="shared" si="5"/>
        <v>栃木県真岡市</v>
      </c>
      <c r="AD303" s="32">
        <v>10.210000000000001</v>
      </c>
      <c r="AE303" s="34">
        <v>10.17</v>
      </c>
      <c r="AF303" s="51">
        <v>10.14</v>
      </c>
      <c r="AG303" s="1"/>
    </row>
    <row r="304" spans="22:33">
      <c r="V304" s="4" t="s">
        <v>423</v>
      </c>
      <c r="W304" s="4" t="s">
        <v>1277</v>
      </c>
      <c r="X304" s="2"/>
      <c r="Y304" s="595" t="s">
        <v>1233</v>
      </c>
      <c r="Z304" s="596">
        <v>0.03</v>
      </c>
      <c r="AA304" s="608" t="s">
        <v>456</v>
      </c>
      <c r="AB304" s="34" t="s">
        <v>1278</v>
      </c>
      <c r="AC304" s="43" t="str">
        <f t="shared" si="5"/>
        <v>栃木県大田原市</v>
      </c>
      <c r="AD304" s="32">
        <v>10.210000000000001</v>
      </c>
      <c r="AE304" s="34">
        <v>10.17</v>
      </c>
      <c r="AF304" s="51">
        <v>10.14</v>
      </c>
      <c r="AG304" s="1"/>
    </row>
    <row r="305" spans="22:33">
      <c r="V305" s="4" t="s">
        <v>423</v>
      </c>
      <c r="W305" s="4" t="s">
        <v>1279</v>
      </c>
      <c r="X305" s="2"/>
      <c r="Y305" s="595" t="s">
        <v>1233</v>
      </c>
      <c r="Z305" s="596">
        <v>0.03</v>
      </c>
      <c r="AA305" s="608" t="s">
        <v>456</v>
      </c>
      <c r="AB305" s="34" t="s">
        <v>1280</v>
      </c>
      <c r="AC305" s="43" t="str">
        <f t="shared" si="5"/>
        <v>栃木県さくら市</v>
      </c>
      <c r="AD305" s="32">
        <v>10.210000000000001</v>
      </c>
      <c r="AE305" s="34">
        <v>10.17</v>
      </c>
      <c r="AF305" s="51">
        <v>10.14</v>
      </c>
      <c r="AG305" s="1"/>
    </row>
    <row r="306" spans="22:33">
      <c r="V306" s="4" t="s">
        <v>423</v>
      </c>
      <c r="W306" s="4" t="s">
        <v>1281</v>
      </c>
      <c r="X306" s="2"/>
      <c r="Y306" s="595" t="s">
        <v>1233</v>
      </c>
      <c r="Z306" s="596">
        <v>0.03</v>
      </c>
      <c r="AA306" s="608" t="s">
        <v>456</v>
      </c>
      <c r="AB306" s="34" t="s">
        <v>1282</v>
      </c>
      <c r="AC306" s="43" t="str">
        <f t="shared" si="5"/>
        <v>栃木県下野市</v>
      </c>
      <c r="AD306" s="32">
        <v>10.210000000000001</v>
      </c>
      <c r="AE306" s="34">
        <v>10.17</v>
      </c>
      <c r="AF306" s="51">
        <v>10.14</v>
      </c>
      <c r="AG306" s="1"/>
    </row>
    <row r="307" spans="22:33">
      <c r="V307" s="4" t="s">
        <v>423</v>
      </c>
      <c r="W307" s="4" t="s">
        <v>1283</v>
      </c>
      <c r="X307" s="2"/>
      <c r="Y307" s="595" t="s">
        <v>1233</v>
      </c>
      <c r="Z307" s="596">
        <v>0.03</v>
      </c>
      <c r="AA307" s="608" t="s">
        <v>456</v>
      </c>
      <c r="AB307" s="34" t="s">
        <v>1284</v>
      </c>
      <c r="AC307" s="43" t="str">
        <f t="shared" si="5"/>
        <v>栃木県壬生町</v>
      </c>
      <c r="AD307" s="32">
        <v>10.210000000000001</v>
      </c>
      <c r="AE307" s="34">
        <v>10.17</v>
      </c>
      <c r="AF307" s="51">
        <v>10.14</v>
      </c>
      <c r="AG307" s="1"/>
    </row>
    <row r="308" spans="22:33">
      <c r="V308" s="4" t="s">
        <v>423</v>
      </c>
      <c r="W308" s="4" t="s">
        <v>1285</v>
      </c>
      <c r="X308" s="2"/>
      <c r="Y308" s="595" t="s">
        <v>1233</v>
      </c>
      <c r="Z308" s="596">
        <v>0.03</v>
      </c>
      <c r="AA308" s="608" t="s">
        <v>463</v>
      </c>
      <c r="AB308" s="34" t="s">
        <v>1286</v>
      </c>
      <c r="AC308" s="43" t="str">
        <f t="shared" si="5"/>
        <v>群馬県前橋市</v>
      </c>
      <c r="AD308" s="32">
        <v>10.210000000000001</v>
      </c>
      <c r="AE308" s="34">
        <v>10.17</v>
      </c>
      <c r="AF308" s="51">
        <v>10.14</v>
      </c>
      <c r="AG308" s="1"/>
    </row>
    <row r="309" spans="22:33">
      <c r="V309" s="4" t="s">
        <v>423</v>
      </c>
      <c r="W309" s="4" t="s">
        <v>1287</v>
      </c>
      <c r="X309" s="2"/>
      <c r="Y309" s="595" t="s">
        <v>1233</v>
      </c>
      <c r="Z309" s="596">
        <v>0.03</v>
      </c>
      <c r="AA309" s="608" t="s">
        <v>463</v>
      </c>
      <c r="AB309" s="34" t="s">
        <v>1288</v>
      </c>
      <c r="AC309" s="43" t="str">
        <f t="shared" si="5"/>
        <v>群馬県伊勢崎市</v>
      </c>
      <c r="AD309" s="32">
        <v>10.210000000000001</v>
      </c>
      <c r="AE309" s="34">
        <v>10.17</v>
      </c>
      <c r="AF309" s="51">
        <v>10.14</v>
      </c>
      <c r="AG309" s="1"/>
    </row>
    <row r="310" spans="22:33">
      <c r="V310" s="4" t="s">
        <v>423</v>
      </c>
      <c r="W310" s="4" t="s">
        <v>1289</v>
      </c>
      <c r="X310" s="2"/>
      <c r="Y310" s="595" t="s">
        <v>1233</v>
      </c>
      <c r="Z310" s="596">
        <v>0.03</v>
      </c>
      <c r="AA310" s="608" t="s">
        <v>463</v>
      </c>
      <c r="AB310" s="34" t="s">
        <v>1290</v>
      </c>
      <c r="AC310" s="43" t="str">
        <f t="shared" si="5"/>
        <v>群馬県太田市</v>
      </c>
      <c r="AD310" s="32">
        <v>10.210000000000001</v>
      </c>
      <c r="AE310" s="34">
        <v>10.17</v>
      </c>
      <c r="AF310" s="51">
        <v>10.14</v>
      </c>
      <c r="AG310" s="1"/>
    </row>
    <row r="311" spans="22:33">
      <c r="V311" s="4" t="s">
        <v>423</v>
      </c>
      <c r="W311" s="4" t="s">
        <v>1291</v>
      </c>
      <c r="X311" s="2"/>
      <c r="Y311" s="595" t="s">
        <v>1233</v>
      </c>
      <c r="Z311" s="596">
        <v>0.03</v>
      </c>
      <c r="AA311" s="608" t="s">
        <v>463</v>
      </c>
      <c r="AB311" s="34" t="s">
        <v>1292</v>
      </c>
      <c r="AC311" s="43" t="str">
        <f t="shared" si="5"/>
        <v>群馬県渋川市</v>
      </c>
      <c r="AD311" s="32">
        <v>10.210000000000001</v>
      </c>
      <c r="AE311" s="34">
        <v>10.17</v>
      </c>
      <c r="AF311" s="51">
        <v>10.14</v>
      </c>
      <c r="AG311" s="1"/>
    </row>
    <row r="312" spans="22:33">
      <c r="V312" s="4" t="s">
        <v>423</v>
      </c>
      <c r="W312" s="4" t="s">
        <v>1293</v>
      </c>
      <c r="X312" s="2"/>
      <c r="Y312" s="595" t="s">
        <v>1233</v>
      </c>
      <c r="Z312" s="596">
        <v>0.03</v>
      </c>
      <c r="AA312" s="608" t="s">
        <v>463</v>
      </c>
      <c r="AB312" s="34" t="s">
        <v>1294</v>
      </c>
      <c r="AC312" s="43" t="str">
        <f t="shared" si="5"/>
        <v>群馬県榛東村</v>
      </c>
      <c r="AD312" s="32">
        <v>10.210000000000001</v>
      </c>
      <c r="AE312" s="34">
        <v>10.17</v>
      </c>
      <c r="AF312" s="51">
        <v>10.14</v>
      </c>
      <c r="AG312" s="1"/>
    </row>
    <row r="313" spans="22:33">
      <c r="V313" s="4" t="s">
        <v>423</v>
      </c>
      <c r="W313" s="4" t="s">
        <v>1295</v>
      </c>
      <c r="X313" s="2"/>
      <c r="Y313" s="595" t="s">
        <v>1233</v>
      </c>
      <c r="Z313" s="596">
        <v>0.03</v>
      </c>
      <c r="AA313" s="608" t="s">
        <v>463</v>
      </c>
      <c r="AB313" s="34" t="s">
        <v>1296</v>
      </c>
      <c r="AC313" s="43" t="str">
        <f t="shared" si="5"/>
        <v>群馬県吉岡町</v>
      </c>
      <c r="AD313" s="32">
        <v>10.210000000000001</v>
      </c>
      <c r="AE313" s="34">
        <v>10.17</v>
      </c>
      <c r="AF313" s="51">
        <v>10.14</v>
      </c>
      <c r="AG313" s="1"/>
    </row>
    <row r="314" spans="22:33">
      <c r="V314" s="4" t="s">
        <v>423</v>
      </c>
      <c r="W314" s="4" t="s">
        <v>1297</v>
      </c>
      <c r="X314" s="2"/>
      <c r="Y314" s="595" t="s">
        <v>1233</v>
      </c>
      <c r="Z314" s="596">
        <v>0.03</v>
      </c>
      <c r="AA314" s="608" t="s">
        <v>463</v>
      </c>
      <c r="AB314" s="34" t="s">
        <v>1298</v>
      </c>
      <c r="AC314" s="43" t="str">
        <f t="shared" si="5"/>
        <v>群馬県玉村町</v>
      </c>
      <c r="AD314" s="32">
        <v>10.210000000000001</v>
      </c>
      <c r="AE314" s="34">
        <v>10.17</v>
      </c>
      <c r="AF314" s="51">
        <v>10.14</v>
      </c>
      <c r="AG314" s="1"/>
    </row>
    <row r="315" spans="22:33">
      <c r="V315" s="4" t="s">
        <v>423</v>
      </c>
      <c r="W315" s="4" t="s">
        <v>1299</v>
      </c>
      <c r="X315" s="2"/>
      <c r="Y315" s="595" t="s">
        <v>1233</v>
      </c>
      <c r="Z315" s="596">
        <v>0.03</v>
      </c>
      <c r="AA315" s="608" t="s">
        <v>474</v>
      </c>
      <c r="AB315" s="34" t="s">
        <v>1300</v>
      </c>
      <c r="AC315" s="43" t="str">
        <f t="shared" si="5"/>
        <v>埼玉県熊谷市</v>
      </c>
      <c r="AD315" s="32">
        <v>10.210000000000001</v>
      </c>
      <c r="AE315" s="34">
        <v>10.17</v>
      </c>
      <c r="AF315" s="51">
        <v>10.14</v>
      </c>
      <c r="AG315" s="1"/>
    </row>
    <row r="316" spans="22:33">
      <c r="V316" s="4" t="s">
        <v>423</v>
      </c>
      <c r="W316" s="4" t="s">
        <v>1301</v>
      </c>
      <c r="X316" s="2"/>
      <c r="Y316" s="595" t="s">
        <v>1233</v>
      </c>
      <c r="Z316" s="596">
        <v>0.03</v>
      </c>
      <c r="AA316" s="608" t="s">
        <v>474</v>
      </c>
      <c r="AB316" s="34" t="s">
        <v>1302</v>
      </c>
      <c r="AC316" s="43" t="str">
        <f t="shared" si="5"/>
        <v>埼玉県深谷市</v>
      </c>
      <c r="AD316" s="32">
        <v>10.210000000000001</v>
      </c>
      <c r="AE316" s="34">
        <v>10.17</v>
      </c>
      <c r="AF316" s="51">
        <v>10.14</v>
      </c>
      <c r="AG316" s="1"/>
    </row>
    <row r="317" spans="22:33">
      <c r="V317" s="4" t="s">
        <v>423</v>
      </c>
      <c r="W317" s="4" t="s">
        <v>1303</v>
      </c>
      <c r="X317" s="2"/>
      <c r="Y317" s="595" t="s">
        <v>1233</v>
      </c>
      <c r="Z317" s="596">
        <v>0.03</v>
      </c>
      <c r="AA317" s="608" t="s">
        <v>474</v>
      </c>
      <c r="AB317" s="34" t="s">
        <v>1304</v>
      </c>
      <c r="AC317" s="43" t="str">
        <f t="shared" si="5"/>
        <v>埼玉県日高市</v>
      </c>
      <c r="AD317" s="32">
        <v>10.210000000000001</v>
      </c>
      <c r="AE317" s="34">
        <v>10.17</v>
      </c>
      <c r="AF317" s="51">
        <v>10.14</v>
      </c>
      <c r="AG317" s="1"/>
    </row>
    <row r="318" spans="22:33">
      <c r="V318" s="4" t="s">
        <v>423</v>
      </c>
      <c r="W318" s="4" t="s">
        <v>1305</v>
      </c>
      <c r="X318" s="2"/>
      <c r="Y318" s="595" t="s">
        <v>1233</v>
      </c>
      <c r="Z318" s="596">
        <v>0.03</v>
      </c>
      <c r="AA318" s="608" t="s">
        <v>474</v>
      </c>
      <c r="AB318" s="34" t="s">
        <v>1306</v>
      </c>
      <c r="AC318" s="43" t="str">
        <f t="shared" si="5"/>
        <v>埼玉県毛呂山町</v>
      </c>
      <c r="AD318" s="32">
        <v>10.210000000000001</v>
      </c>
      <c r="AE318" s="34">
        <v>10.17</v>
      </c>
      <c r="AF318" s="51">
        <v>10.14</v>
      </c>
      <c r="AG318" s="1"/>
    </row>
    <row r="319" spans="22:33">
      <c r="V319" s="4" t="s">
        <v>423</v>
      </c>
      <c r="W319" s="4" t="s">
        <v>1307</v>
      </c>
      <c r="X319" s="2"/>
      <c r="Y319" s="595" t="s">
        <v>1233</v>
      </c>
      <c r="Z319" s="596">
        <v>0.03</v>
      </c>
      <c r="AA319" s="608" t="s">
        <v>474</v>
      </c>
      <c r="AB319" s="34" t="s">
        <v>1308</v>
      </c>
      <c r="AC319" s="43" t="str">
        <f t="shared" si="5"/>
        <v>埼玉県越生町</v>
      </c>
      <c r="AD319" s="32">
        <v>10.210000000000001</v>
      </c>
      <c r="AE319" s="34">
        <v>10.17</v>
      </c>
      <c r="AF319" s="51">
        <v>10.14</v>
      </c>
      <c r="AG319" s="1"/>
    </row>
    <row r="320" spans="22:33">
      <c r="V320" s="4" t="s">
        <v>423</v>
      </c>
      <c r="W320" s="4" t="s">
        <v>1309</v>
      </c>
      <c r="X320" s="2"/>
      <c r="Y320" s="595" t="s">
        <v>1233</v>
      </c>
      <c r="Z320" s="596">
        <v>0.03</v>
      </c>
      <c r="AA320" s="608" t="s">
        <v>474</v>
      </c>
      <c r="AB320" s="34" t="s">
        <v>1310</v>
      </c>
      <c r="AC320" s="43" t="str">
        <f t="shared" si="5"/>
        <v>埼玉県滑川町</v>
      </c>
      <c r="AD320" s="32">
        <v>10.210000000000001</v>
      </c>
      <c r="AE320" s="34">
        <v>10.17</v>
      </c>
      <c r="AF320" s="51">
        <v>10.14</v>
      </c>
      <c r="AG320" s="1"/>
    </row>
    <row r="321" spans="22:33">
      <c r="V321" s="4" t="s">
        <v>433</v>
      </c>
      <c r="W321" s="4" t="s">
        <v>1311</v>
      </c>
      <c r="X321" s="2"/>
      <c r="Y321" s="595" t="s">
        <v>1233</v>
      </c>
      <c r="Z321" s="596">
        <v>0.03</v>
      </c>
      <c r="AA321" s="608" t="s">
        <v>474</v>
      </c>
      <c r="AB321" s="34" t="s">
        <v>1312</v>
      </c>
      <c r="AC321" s="43" t="str">
        <f t="shared" si="5"/>
        <v>埼玉県川島町</v>
      </c>
      <c r="AD321" s="32">
        <v>10.210000000000001</v>
      </c>
      <c r="AE321" s="34">
        <v>10.17</v>
      </c>
      <c r="AF321" s="51">
        <v>10.14</v>
      </c>
      <c r="AG321" s="1"/>
    </row>
    <row r="322" spans="22:33">
      <c r="V322" s="4" t="s">
        <v>433</v>
      </c>
      <c r="W322" s="4" t="s">
        <v>1313</v>
      </c>
      <c r="X322" s="2"/>
      <c r="Y322" s="595" t="s">
        <v>1233</v>
      </c>
      <c r="Z322" s="596">
        <v>0.03</v>
      </c>
      <c r="AA322" s="608" t="s">
        <v>474</v>
      </c>
      <c r="AB322" s="34" t="s">
        <v>1314</v>
      </c>
      <c r="AC322" s="43" t="str">
        <f t="shared" si="5"/>
        <v>埼玉県吉見町</v>
      </c>
      <c r="AD322" s="32">
        <v>10.210000000000001</v>
      </c>
      <c r="AE322" s="34">
        <v>10.17</v>
      </c>
      <c r="AF322" s="51">
        <v>10.14</v>
      </c>
      <c r="AG322" s="1"/>
    </row>
    <row r="323" spans="22:33">
      <c r="V323" s="4" t="s">
        <v>433</v>
      </c>
      <c r="W323" s="4" t="s">
        <v>1315</v>
      </c>
      <c r="X323" s="2"/>
      <c r="Y323" s="595" t="s">
        <v>1233</v>
      </c>
      <c r="Z323" s="596">
        <v>0.03</v>
      </c>
      <c r="AA323" s="608" t="s">
        <v>474</v>
      </c>
      <c r="AB323" s="34" t="s">
        <v>1316</v>
      </c>
      <c r="AC323" s="43" t="str">
        <f t="shared" si="5"/>
        <v>埼玉県鳩山町</v>
      </c>
      <c r="AD323" s="32">
        <v>10.210000000000001</v>
      </c>
      <c r="AE323" s="34">
        <v>10.17</v>
      </c>
      <c r="AF323" s="51">
        <v>10.14</v>
      </c>
      <c r="AG323" s="1"/>
    </row>
    <row r="324" spans="22:33">
      <c r="V324" s="4" t="s">
        <v>433</v>
      </c>
      <c r="W324" s="4" t="s">
        <v>1317</v>
      </c>
      <c r="X324" s="2"/>
      <c r="Y324" s="595" t="s">
        <v>1233</v>
      </c>
      <c r="Z324" s="596">
        <v>0.03</v>
      </c>
      <c r="AA324" s="608" t="s">
        <v>474</v>
      </c>
      <c r="AB324" s="34" t="s">
        <v>1318</v>
      </c>
      <c r="AC324" s="43" t="str">
        <f t="shared" ref="AC324:AC387" si="6">AA324&amp;AB324</f>
        <v>埼玉県寄居町</v>
      </c>
      <c r="AD324" s="32">
        <v>10.210000000000001</v>
      </c>
      <c r="AE324" s="34">
        <v>10.17</v>
      </c>
      <c r="AF324" s="51">
        <v>10.14</v>
      </c>
      <c r="AG324" s="1"/>
    </row>
    <row r="325" spans="22:33">
      <c r="V325" s="4" t="s">
        <v>433</v>
      </c>
      <c r="W325" s="4" t="s">
        <v>1319</v>
      </c>
      <c r="X325" s="2"/>
      <c r="Y325" s="595" t="s">
        <v>1233</v>
      </c>
      <c r="Z325" s="596">
        <v>0.03</v>
      </c>
      <c r="AA325" s="608" t="s">
        <v>483</v>
      </c>
      <c r="AB325" s="34" t="s">
        <v>1320</v>
      </c>
      <c r="AC325" s="43" t="str">
        <f t="shared" si="6"/>
        <v>千葉県東金市</v>
      </c>
      <c r="AD325" s="32">
        <v>10.210000000000001</v>
      </c>
      <c r="AE325" s="34">
        <v>10.17</v>
      </c>
      <c r="AF325" s="51">
        <v>10.14</v>
      </c>
      <c r="AG325" s="1"/>
    </row>
    <row r="326" spans="22:33">
      <c r="V326" s="4" t="s">
        <v>433</v>
      </c>
      <c r="W326" s="4" t="s">
        <v>1321</v>
      </c>
      <c r="X326" s="2"/>
      <c r="Y326" s="595" t="s">
        <v>1233</v>
      </c>
      <c r="Z326" s="596">
        <v>0.03</v>
      </c>
      <c r="AA326" s="608" t="s">
        <v>483</v>
      </c>
      <c r="AB326" s="34" t="s">
        <v>1322</v>
      </c>
      <c r="AC326" s="43" t="str">
        <f t="shared" si="6"/>
        <v>千葉県君津市</v>
      </c>
      <c r="AD326" s="32">
        <v>10.210000000000001</v>
      </c>
      <c r="AE326" s="34">
        <v>10.17</v>
      </c>
      <c r="AF326" s="51">
        <v>10.14</v>
      </c>
      <c r="AG326" s="1"/>
    </row>
    <row r="327" spans="22:33">
      <c r="V327" s="4" t="s">
        <v>433</v>
      </c>
      <c r="W327" s="4" t="s">
        <v>1323</v>
      </c>
      <c r="X327" s="2"/>
      <c r="Y327" s="595" t="s">
        <v>1233</v>
      </c>
      <c r="Z327" s="596">
        <v>0.03</v>
      </c>
      <c r="AA327" s="608" t="s">
        <v>483</v>
      </c>
      <c r="AB327" s="34" t="s">
        <v>1324</v>
      </c>
      <c r="AC327" s="43" t="str">
        <f t="shared" si="6"/>
        <v>千葉県富津市</v>
      </c>
      <c r="AD327" s="32">
        <v>10.210000000000001</v>
      </c>
      <c r="AE327" s="34">
        <v>10.17</v>
      </c>
      <c r="AF327" s="51">
        <v>10.14</v>
      </c>
      <c r="AG327" s="1"/>
    </row>
    <row r="328" spans="22:33">
      <c r="V328" s="4" t="s">
        <v>433</v>
      </c>
      <c r="W328" s="4" t="s">
        <v>1325</v>
      </c>
      <c r="X328" s="2"/>
      <c r="Y328" s="595" t="s">
        <v>1233</v>
      </c>
      <c r="Z328" s="596">
        <v>0.03</v>
      </c>
      <c r="AA328" s="608" t="s">
        <v>483</v>
      </c>
      <c r="AB328" s="34" t="s">
        <v>1326</v>
      </c>
      <c r="AC328" s="43" t="str">
        <f t="shared" si="6"/>
        <v>千葉県八街市</v>
      </c>
      <c r="AD328" s="32">
        <v>10.210000000000001</v>
      </c>
      <c r="AE328" s="34">
        <v>10.17</v>
      </c>
      <c r="AF328" s="51">
        <v>10.14</v>
      </c>
      <c r="AG328" s="1"/>
    </row>
    <row r="329" spans="22:33">
      <c r="V329" s="4" t="s">
        <v>433</v>
      </c>
      <c r="W329" s="4" t="s">
        <v>1327</v>
      </c>
      <c r="X329" s="2"/>
      <c r="Y329" s="595" t="s">
        <v>1233</v>
      </c>
      <c r="Z329" s="596">
        <v>0.03</v>
      </c>
      <c r="AA329" s="608" t="s">
        <v>483</v>
      </c>
      <c r="AB329" s="34" t="s">
        <v>1328</v>
      </c>
      <c r="AC329" s="43" t="str">
        <f t="shared" si="6"/>
        <v>千葉県富里市</v>
      </c>
      <c r="AD329" s="32">
        <v>10.210000000000001</v>
      </c>
      <c r="AE329" s="34">
        <v>10.17</v>
      </c>
      <c r="AF329" s="51">
        <v>10.14</v>
      </c>
      <c r="AG329" s="1"/>
    </row>
    <row r="330" spans="22:33">
      <c r="V330" s="4" t="s">
        <v>433</v>
      </c>
      <c r="W330" s="4" t="s">
        <v>1329</v>
      </c>
      <c r="X330" s="2"/>
      <c r="Y330" s="595" t="s">
        <v>1233</v>
      </c>
      <c r="Z330" s="596">
        <v>0.03</v>
      </c>
      <c r="AA330" s="608" t="s">
        <v>483</v>
      </c>
      <c r="AB330" s="34" t="s">
        <v>1330</v>
      </c>
      <c r="AC330" s="43" t="str">
        <f t="shared" si="6"/>
        <v>千葉県山武市</v>
      </c>
      <c r="AD330" s="32">
        <v>10.210000000000001</v>
      </c>
      <c r="AE330" s="34">
        <v>10.17</v>
      </c>
      <c r="AF330" s="51">
        <v>10.14</v>
      </c>
      <c r="AG330" s="1"/>
    </row>
    <row r="331" spans="22:33">
      <c r="V331" s="4" t="s">
        <v>433</v>
      </c>
      <c r="W331" s="4" t="s">
        <v>1331</v>
      </c>
      <c r="X331" s="2"/>
      <c r="Y331" s="595" t="s">
        <v>1233</v>
      </c>
      <c r="Z331" s="596">
        <v>0.03</v>
      </c>
      <c r="AA331" s="608" t="s">
        <v>483</v>
      </c>
      <c r="AB331" s="34" t="s">
        <v>1332</v>
      </c>
      <c r="AC331" s="43" t="str">
        <f t="shared" si="6"/>
        <v>千葉県大網白里市</v>
      </c>
      <c r="AD331" s="32">
        <v>10.210000000000001</v>
      </c>
      <c r="AE331" s="34">
        <v>10.17</v>
      </c>
      <c r="AF331" s="51">
        <v>10.14</v>
      </c>
      <c r="AG331" s="1"/>
    </row>
    <row r="332" spans="22:33">
      <c r="V332" s="4" t="s">
        <v>433</v>
      </c>
      <c r="W332" s="4" t="s">
        <v>1333</v>
      </c>
      <c r="X332" s="2"/>
      <c r="Y332" s="595" t="s">
        <v>1233</v>
      </c>
      <c r="Z332" s="596">
        <v>0.03</v>
      </c>
      <c r="AA332" s="608" t="s">
        <v>483</v>
      </c>
      <c r="AB332" s="34" t="s">
        <v>1334</v>
      </c>
      <c r="AC332" s="43" t="str">
        <f t="shared" si="6"/>
        <v>千葉県長柄町</v>
      </c>
      <c r="AD332" s="32">
        <v>10.210000000000001</v>
      </c>
      <c r="AE332" s="34">
        <v>10.17</v>
      </c>
      <c r="AF332" s="51">
        <v>10.14</v>
      </c>
      <c r="AG332" s="1"/>
    </row>
    <row r="333" spans="22:33">
      <c r="V333" s="4" t="s">
        <v>433</v>
      </c>
      <c r="W333" s="4" t="s">
        <v>1335</v>
      </c>
      <c r="X333" s="2"/>
      <c r="Y333" s="595" t="s">
        <v>1233</v>
      </c>
      <c r="Z333" s="596">
        <v>0.03</v>
      </c>
      <c r="AA333" s="608" t="s">
        <v>483</v>
      </c>
      <c r="AB333" s="34" t="s">
        <v>1336</v>
      </c>
      <c r="AC333" s="43" t="str">
        <f t="shared" si="6"/>
        <v>千葉県長南町</v>
      </c>
      <c r="AD333" s="32">
        <v>10.210000000000001</v>
      </c>
      <c r="AE333" s="34">
        <v>10.17</v>
      </c>
      <c r="AF333" s="51">
        <v>10.14</v>
      </c>
      <c r="AG333" s="1"/>
    </row>
    <row r="334" spans="22:33">
      <c r="V334" s="4" t="s">
        <v>433</v>
      </c>
      <c r="W334" s="4" t="s">
        <v>1337</v>
      </c>
      <c r="X334" s="2"/>
      <c r="Y334" s="595" t="s">
        <v>1233</v>
      </c>
      <c r="Z334" s="596">
        <v>0.03</v>
      </c>
      <c r="AA334" s="608" t="s">
        <v>500</v>
      </c>
      <c r="AB334" s="34" t="s">
        <v>1338</v>
      </c>
      <c r="AC334" s="43" t="str">
        <f t="shared" si="6"/>
        <v>神奈川県南足柄市</v>
      </c>
      <c r="AD334" s="32">
        <v>10.210000000000001</v>
      </c>
      <c r="AE334" s="34">
        <v>10.17</v>
      </c>
      <c r="AF334" s="51">
        <v>10.14</v>
      </c>
      <c r="AG334" s="1"/>
    </row>
    <row r="335" spans="22:33">
      <c r="V335" s="4" t="s">
        <v>433</v>
      </c>
      <c r="W335" s="4" t="s">
        <v>1339</v>
      </c>
      <c r="X335" s="2"/>
      <c r="Y335" s="595" t="s">
        <v>1233</v>
      </c>
      <c r="Z335" s="596">
        <v>0.03</v>
      </c>
      <c r="AA335" s="608" t="s">
        <v>500</v>
      </c>
      <c r="AB335" s="34" t="s">
        <v>1340</v>
      </c>
      <c r="AC335" s="43" t="str">
        <f t="shared" si="6"/>
        <v>神奈川県山北町</v>
      </c>
      <c r="AD335" s="32">
        <v>10.210000000000001</v>
      </c>
      <c r="AE335" s="34">
        <v>10.17</v>
      </c>
      <c r="AF335" s="51">
        <v>10.14</v>
      </c>
      <c r="AG335" s="1"/>
    </row>
    <row r="336" spans="22:33">
      <c r="V336" s="4" t="s">
        <v>433</v>
      </c>
      <c r="W336" s="4" t="s">
        <v>1341</v>
      </c>
      <c r="X336" s="2"/>
      <c r="Y336" s="595" t="s">
        <v>1233</v>
      </c>
      <c r="Z336" s="596">
        <v>0.03</v>
      </c>
      <c r="AA336" s="608" t="s">
        <v>500</v>
      </c>
      <c r="AB336" s="34" t="s">
        <v>1342</v>
      </c>
      <c r="AC336" s="43" t="str">
        <f t="shared" si="6"/>
        <v>神奈川県箱根町</v>
      </c>
      <c r="AD336" s="32">
        <v>10.210000000000001</v>
      </c>
      <c r="AE336" s="34">
        <v>10.17</v>
      </c>
      <c r="AF336" s="51">
        <v>10.14</v>
      </c>
      <c r="AG336" s="1"/>
    </row>
    <row r="337" spans="22:33">
      <c r="V337" s="4" t="s">
        <v>433</v>
      </c>
      <c r="W337" s="4" t="s">
        <v>1343</v>
      </c>
      <c r="X337" s="2"/>
      <c r="Y337" s="595" t="s">
        <v>1233</v>
      </c>
      <c r="Z337" s="596">
        <v>0.03</v>
      </c>
      <c r="AA337" s="608" t="s">
        <v>507</v>
      </c>
      <c r="AB337" s="34" t="s">
        <v>1344</v>
      </c>
      <c r="AC337" s="43" t="str">
        <f t="shared" si="6"/>
        <v>新潟県新潟市</v>
      </c>
      <c r="AD337" s="32">
        <v>10.210000000000001</v>
      </c>
      <c r="AE337" s="34">
        <v>10.17</v>
      </c>
      <c r="AF337" s="51">
        <v>10.14</v>
      </c>
      <c r="AG337" s="1"/>
    </row>
    <row r="338" spans="22:33">
      <c r="V338" s="4" t="s">
        <v>433</v>
      </c>
      <c r="W338" s="4" t="s">
        <v>1345</v>
      </c>
      <c r="X338" s="2"/>
      <c r="Y338" s="595" t="s">
        <v>1233</v>
      </c>
      <c r="Z338" s="596">
        <v>0.03</v>
      </c>
      <c r="AA338" s="608" t="s">
        <v>514</v>
      </c>
      <c r="AB338" s="34" t="s">
        <v>1346</v>
      </c>
      <c r="AC338" s="43" t="str">
        <f t="shared" si="6"/>
        <v>富山県富山市</v>
      </c>
      <c r="AD338" s="32">
        <v>10.210000000000001</v>
      </c>
      <c r="AE338" s="34">
        <v>10.17</v>
      </c>
      <c r="AF338" s="51">
        <v>10.14</v>
      </c>
      <c r="AG338" s="1"/>
    </row>
    <row r="339" spans="22:33">
      <c r="V339" s="4" t="s">
        <v>433</v>
      </c>
      <c r="W339" s="4" t="s">
        <v>1347</v>
      </c>
      <c r="X339" s="2"/>
      <c r="Y339" s="595" t="s">
        <v>1233</v>
      </c>
      <c r="Z339" s="596">
        <v>0.03</v>
      </c>
      <c r="AA339" s="608" t="s">
        <v>521</v>
      </c>
      <c r="AB339" s="34" t="s">
        <v>1348</v>
      </c>
      <c r="AC339" s="43" t="str">
        <f t="shared" si="6"/>
        <v>石川県金沢市</v>
      </c>
      <c r="AD339" s="32">
        <v>10.210000000000001</v>
      </c>
      <c r="AE339" s="34">
        <v>10.17</v>
      </c>
      <c r="AF339" s="51">
        <v>10.14</v>
      </c>
      <c r="AG339" s="1"/>
    </row>
    <row r="340" spans="22:33">
      <c r="V340" s="4" t="s">
        <v>433</v>
      </c>
      <c r="W340" s="4" t="s">
        <v>1349</v>
      </c>
      <c r="X340" s="2"/>
      <c r="Y340" s="595" t="s">
        <v>1233</v>
      </c>
      <c r="Z340" s="596">
        <v>0.03</v>
      </c>
      <c r="AA340" s="608" t="s">
        <v>521</v>
      </c>
      <c r="AB340" s="34" t="s">
        <v>1350</v>
      </c>
      <c r="AC340" s="43" t="str">
        <f t="shared" si="6"/>
        <v>石川県内灘町</v>
      </c>
      <c r="AD340" s="32">
        <v>10.210000000000001</v>
      </c>
      <c r="AE340" s="34">
        <v>10.17</v>
      </c>
      <c r="AF340" s="51">
        <v>10.14</v>
      </c>
      <c r="AG340" s="1"/>
    </row>
    <row r="341" spans="22:33">
      <c r="V341" s="4" t="s">
        <v>433</v>
      </c>
      <c r="W341" s="4" t="s">
        <v>1351</v>
      </c>
      <c r="X341" s="2"/>
      <c r="Y341" s="595" t="s">
        <v>1233</v>
      </c>
      <c r="Z341" s="596">
        <v>0.03</v>
      </c>
      <c r="AA341" s="608" t="s">
        <v>530</v>
      </c>
      <c r="AB341" s="34" t="s">
        <v>1352</v>
      </c>
      <c r="AC341" s="43" t="str">
        <f t="shared" si="6"/>
        <v>福井県福井市</v>
      </c>
      <c r="AD341" s="32">
        <v>10.210000000000001</v>
      </c>
      <c r="AE341" s="34">
        <v>10.17</v>
      </c>
      <c r="AF341" s="51">
        <v>10.14</v>
      </c>
      <c r="AG341" s="1"/>
    </row>
    <row r="342" spans="22:33">
      <c r="V342" s="4" t="s">
        <v>433</v>
      </c>
      <c r="W342" s="4" t="s">
        <v>1353</v>
      </c>
      <c r="X342" s="2"/>
      <c r="Y342" s="595" t="s">
        <v>1233</v>
      </c>
      <c r="Z342" s="596">
        <v>0.03</v>
      </c>
      <c r="AA342" s="608" t="s">
        <v>539</v>
      </c>
      <c r="AB342" s="34" t="s">
        <v>1354</v>
      </c>
      <c r="AC342" s="43" t="str">
        <f t="shared" si="6"/>
        <v>山梨県甲府市</v>
      </c>
      <c r="AD342" s="32">
        <v>10.210000000000001</v>
      </c>
      <c r="AE342" s="34">
        <v>10.17</v>
      </c>
      <c r="AF342" s="51">
        <v>10.14</v>
      </c>
      <c r="AG342" s="1"/>
    </row>
    <row r="343" spans="22:33">
      <c r="V343" s="4" t="s">
        <v>433</v>
      </c>
      <c r="W343" s="4" t="s">
        <v>1355</v>
      </c>
      <c r="X343" s="2"/>
      <c r="Y343" s="595" t="s">
        <v>1233</v>
      </c>
      <c r="Z343" s="596">
        <v>0.03</v>
      </c>
      <c r="AA343" s="608" t="s">
        <v>539</v>
      </c>
      <c r="AB343" s="34" t="s">
        <v>1356</v>
      </c>
      <c r="AC343" s="43" t="str">
        <f t="shared" si="6"/>
        <v>山梨県南アルプス市</v>
      </c>
      <c r="AD343" s="32">
        <v>10.210000000000001</v>
      </c>
      <c r="AE343" s="34">
        <v>10.17</v>
      </c>
      <c r="AF343" s="51">
        <v>10.14</v>
      </c>
      <c r="AG343" s="1"/>
    </row>
    <row r="344" spans="22:33">
      <c r="V344" s="4" t="s">
        <v>433</v>
      </c>
      <c r="W344" s="4" t="s">
        <v>1357</v>
      </c>
      <c r="X344" s="2"/>
      <c r="Y344" s="595" t="s">
        <v>1233</v>
      </c>
      <c r="Z344" s="596">
        <v>0.03</v>
      </c>
      <c r="AA344" s="608" t="s">
        <v>539</v>
      </c>
      <c r="AB344" s="34" t="s">
        <v>1358</v>
      </c>
      <c r="AC344" s="43" t="str">
        <f t="shared" si="6"/>
        <v>山梨県南部町</v>
      </c>
      <c r="AD344" s="32">
        <v>10.210000000000001</v>
      </c>
      <c r="AE344" s="34">
        <v>10.17</v>
      </c>
      <c r="AF344" s="51">
        <v>10.14</v>
      </c>
      <c r="AG344" s="1"/>
    </row>
    <row r="345" spans="22:33">
      <c r="V345" s="4" t="s">
        <v>433</v>
      </c>
      <c r="W345" s="4" t="s">
        <v>1359</v>
      </c>
      <c r="X345" s="2"/>
      <c r="Y345" s="595" t="s">
        <v>1233</v>
      </c>
      <c r="Z345" s="596">
        <v>0.03</v>
      </c>
      <c r="AA345" s="608" t="s">
        <v>547</v>
      </c>
      <c r="AB345" s="34" t="s">
        <v>1360</v>
      </c>
      <c r="AC345" s="43" t="str">
        <f t="shared" si="6"/>
        <v>長野県長野市</v>
      </c>
      <c r="AD345" s="32">
        <v>10.210000000000001</v>
      </c>
      <c r="AE345" s="34">
        <v>10.17</v>
      </c>
      <c r="AF345" s="51">
        <v>10.14</v>
      </c>
      <c r="AG345" s="1"/>
    </row>
    <row r="346" spans="22:33">
      <c r="V346" s="4" t="s">
        <v>433</v>
      </c>
      <c r="W346" s="4" t="s">
        <v>1361</v>
      </c>
      <c r="X346" s="2"/>
      <c r="Y346" s="595" t="s">
        <v>1233</v>
      </c>
      <c r="Z346" s="596">
        <v>0.03</v>
      </c>
      <c r="AA346" s="608" t="s">
        <v>547</v>
      </c>
      <c r="AB346" s="34" t="s">
        <v>1362</v>
      </c>
      <c r="AC346" s="43" t="str">
        <f t="shared" si="6"/>
        <v>長野県松本市</v>
      </c>
      <c r="AD346" s="32">
        <v>10.210000000000001</v>
      </c>
      <c r="AE346" s="34">
        <v>10.17</v>
      </c>
      <c r="AF346" s="51">
        <v>10.14</v>
      </c>
      <c r="AG346" s="1"/>
    </row>
    <row r="347" spans="22:33">
      <c r="V347" s="4" t="s">
        <v>433</v>
      </c>
      <c r="W347" s="4" t="s">
        <v>1363</v>
      </c>
      <c r="X347" s="2"/>
      <c r="Y347" s="595" t="s">
        <v>1233</v>
      </c>
      <c r="Z347" s="596">
        <v>0.03</v>
      </c>
      <c r="AA347" s="608" t="s">
        <v>547</v>
      </c>
      <c r="AB347" s="34" t="s">
        <v>1364</v>
      </c>
      <c r="AC347" s="43" t="str">
        <f t="shared" si="6"/>
        <v>長野県塩尻市</v>
      </c>
      <c r="AD347" s="32">
        <v>10.210000000000001</v>
      </c>
      <c r="AE347" s="34">
        <v>10.17</v>
      </c>
      <c r="AF347" s="51">
        <v>10.14</v>
      </c>
      <c r="AG347" s="1"/>
    </row>
    <row r="348" spans="22:33">
      <c r="V348" s="4" t="s">
        <v>433</v>
      </c>
      <c r="W348" s="4" t="s">
        <v>1365</v>
      </c>
      <c r="X348" s="2"/>
      <c r="Y348" s="595" t="s">
        <v>1233</v>
      </c>
      <c r="Z348" s="596">
        <v>0.03</v>
      </c>
      <c r="AA348" s="608" t="s">
        <v>556</v>
      </c>
      <c r="AB348" s="34" t="s">
        <v>1366</v>
      </c>
      <c r="AC348" s="43" t="str">
        <f t="shared" si="6"/>
        <v>岐阜県大垣市</v>
      </c>
      <c r="AD348" s="32">
        <v>10.210000000000001</v>
      </c>
      <c r="AE348" s="34">
        <v>10.17</v>
      </c>
      <c r="AF348" s="51">
        <v>10.14</v>
      </c>
      <c r="AG348" s="1"/>
    </row>
    <row r="349" spans="22:33">
      <c r="V349" s="4" t="s">
        <v>433</v>
      </c>
      <c r="W349" s="4" t="s">
        <v>1367</v>
      </c>
      <c r="X349" s="2"/>
      <c r="Y349" s="595" t="s">
        <v>1233</v>
      </c>
      <c r="Z349" s="596">
        <v>0.03</v>
      </c>
      <c r="AA349" s="608" t="s">
        <v>556</v>
      </c>
      <c r="AB349" s="34" t="s">
        <v>1368</v>
      </c>
      <c r="AC349" s="43" t="str">
        <f t="shared" si="6"/>
        <v>岐阜県多治見市</v>
      </c>
      <c r="AD349" s="32">
        <v>10.210000000000001</v>
      </c>
      <c r="AE349" s="34">
        <v>10.17</v>
      </c>
      <c r="AF349" s="51">
        <v>10.14</v>
      </c>
      <c r="AG349" s="1"/>
    </row>
    <row r="350" spans="22:33">
      <c r="V350" s="4" t="s">
        <v>433</v>
      </c>
      <c r="W350" s="4" t="s">
        <v>1369</v>
      </c>
      <c r="X350" s="2"/>
      <c r="Y350" s="595" t="s">
        <v>1233</v>
      </c>
      <c r="Z350" s="596">
        <v>0.03</v>
      </c>
      <c r="AA350" s="608" t="s">
        <v>556</v>
      </c>
      <c r="AB350" s="34" t="s">
        <v>1370</v>
      </c>
      <c r="AC350" s="43" t="str">
        <f t="shared" si="6"/>
        <v>岐阜県美濃加茂市</v>
      </c>
      <c r="AD350" s="32">
        <v>10.210000000000001</v>
      </c>
      <c r="AE350" s="34">
        <v>10.17</v>
      </c>
      <c r="AF350" s="51">
        <v>10.14</v>
      </c>
      <c r="AG350" s="1"/>
    </row>
    <row r="351" spans="22:33">
      <c r="V351" s="4" t="s">
        <v>433</v>
      </c>
      <c r="W351" s="4" t="s">
        <v>1371</v>
      </c>
      <c r="X351" s="2"/>
      <c r="Y351" s="595" t="s">
        <v>1233</v>
      </c>
      <c r="Z351" s="596">
        <v>0.03</v>
      </c>
      <c r="AA351" s="608" t="s">
        <v>556</v>
      </c>
      <c r="AB351" s="34" t="s">
        <v>1372</v>
      </c>
      <c r="AC351" s="43" t="str">
        <f t="shared" si="6"/>
        <v>岐阜県各務原市</v>
      </c>
      <c r="AD351" s="32">
        <v>10.210000000000001</v>
      </c>
      <c r="AE351" s="34">
        <v>10.17</v>
      </c>
      <c r="AF351" s="51">
        <v>10.14</v>
      </c>
      <c r="AG351" s="1"/>
    </row>
    <row r="352" spans="22:33">
      <c r="V352" s="4" t="s">
        <v>433</v>
      </c>
      <c r="W352" s="4" t="s">
        <v>1373</v>
      </c>
      <c r="X352" s="2"/>
      <c r="Y352" s="595" t="s">
        <v>1233</v>
      </c>
      <c r="Z352" s="596">
        <v>0.03</v>
      </c>
      <c r="AA352" s="608" t="s">
        <v>556</v>
      </c>
      <c r="AB352" s="34" t="s">
        <v>1374</v>
      </c>
      <c r="AC352" s="43" t="str">
        <f t="shared" si="6"/>
        <v>岐阜県可児市</v>
      </c>
      <c r="AD352" s="32">
        <v>10.210000000000001</v>
      </c>
      <c r="AE352" s="34">
        <v>10.17</v>
      </c>
      <c r="AF352" s="51">
        <v>10.14</v>
      </c>
      <c r="AG352" s="1"/>
    </row>
    <row r="353" spans="22:33">
      <c r="V353" s="4" t="s">
        <v>433</v>
      </c>
      <c r="W353" s="4" t="s">
        <v>1375</v>
      </c>
      <c r="X353" s="2"/>
      <c r="Y353" s="595" t="s">
        <v>1233</v>
      </c>
      <c r="Z353" s="596">
        <v>0.03</v>
      </c>
      <c r="AA353" s="608" t="s">
        <v>563</v>
      </c>
      <c r="AB353" s="34" t="s">
        <v>1376</v>
      </c>
      <c r="AC353" s="43" t="str">
        <f t="shared" si="6"/>
        <v>静岡県浜松市</v>
      </c>
      <c r="AD353" s="32">
        <v>10.210000000000001</v>
      </c>
      <c r="AE353" s="34">
        <v>10.17</v>
      </c>
      <c r="AF353" s="51">
        <v>10.14</v>
      </c>
      <c r="AG353" s="1"/>
    </row>
    <row r="354" spans="22:33">
      <c r="V354" s="4" t="s">
        <v>433</v>
      </c>
      <c r="W354" s="4" t="s">
        <v>1377</v>
      </c>
      <c r="X354" s="2"/>
      <c r="Y354" s="595" t="s">
        <v>1233</v>
      </c>
      <c r="Z354" s="596">
        <v>0.03</v>
      </c>
      <c r="AA354" s="608" t="s">
        <v>563</v>
      </c>
      <c r="AB354" s="34" t="s">
        <v>1378</v>
      </c>
      <c r="AC354" s="43" t="str">
        <f t="shared" si="6"/>
        <v>静岡県沼津市</v>
      </c>
      <c r="AD354" s="32">
        <v>10.210000000000001</v>
      </c>
      <c r="AE354" s="34">
        <v>10.17</v>
      </c>
      <c r="AF354" s="51">
        <v>10.14</v>
      </c>
      <c r="AG354" s="1"/>
    </row>
    <row r="355" spans="22:33">
      <c r="V355" s="4" t="s">
        <v>433</v>
      </c>
      <c r="W355" s="4" t="s">
        <v>1379</v>
      </c>
      <c r="X355" s="2"/>
      <c r="Y355" s="595" t="s">
        <v>1233</v>
      </c>
      <c r="Z355" s="596">
        <v>0.03</v>
      </c>
      <c r="AA355" s="608" t="s">
        <v>563</v>
      </c>
      <c r="AB355" s="34" t="s">
        <v>1380</v>
      </c>
      <c r="AC355" s="43" t="str">
        <f t="shared" si="6"/>
        <v>静岡県三島市</v>
      </c>
      <c r="AD355" s="32">
        <v>10.210000000000001</v>
      </c>
      <c r="AE355" s="34">
        <v>10.17</v>
      </c>
      <c r="AF355" s="51">
        <v>10.14</v>
      </c>
      <c r="AG355" s="1"/>
    </row>
    <row r="356" spans="22:33">
      <c r="V356" s="4" t="s">
        <v>440</v>
      </c>
      <c r="W356" s="4" t="s">
        <v>1381</v>
      </c>
      <c r="X356" s="2"/>
      <c r="Y356" s="595" t="s">
        <v>1233</v>
      </c>
      <c r="Z356" s="596">
        <v>0.03</v>
      </c>
      <c r="AA356" s="608" t="s">
        <v>563</v>
      </c>
      <c r="AB356" s="34" t="s">
        <v>1382</v>
      </c>
      <c r="AC356" s="43" t="str">
        <f t="shared" si="6"/>
        <v>静岡県富士宮市</v>
      </c>
      <c r="AD356" s="32">
        <v>10.210000000000001</v>
      </c>
      <c r="AE356" s="34">
        <v>10.17</v>
      </c>
      <c r="AF356" s="51">
        <v>10.14</v>
      </c>
      <c r="AG356" s="1"/>
    </row>
    <row r="357" spans="22:33">
      <c r="V357" s="4" t="s">
        <v>440</v>
      </c>
      <c r="W357" s="4" t="s">
        <v>1383</v>
      </c>
      <c r="X357" s="2"/>
      <c r="Y357" s="595" t="s">
        <v>1233</v>
      </c>
      <c r="Z357" s="596">
        <v>0.03</v>
      </c>
      <c r="AA357" s="608" t="s">
        <v>563</v>
      </c>
      <c r="AB357" s="34" t="s">
        <v>1384</v>
      </c>
      <c r="AC357" s="43" t="str">
        <f t="shared" si="6"/>
        <v>静岡県島田市</v>
      </c>
      <c r="AD357" s="32">
        <v>10.210000000000001</v>
      </c>
      <c r="AE357" s="34">
        <v>10.17</v>
      </c>
      <c r="AF357" s="51">
        <v>10.14</v>
      </c>
      <c r="AG357" s="1"/>
    </row>
    <row r="358" spans="22:33">
      <c r="V358" s="4" t="s">
        <v>440</v>
      </c>
      <c r="W358" s="4" t="s">
        <v>1385</v>
      </c>
      <c r="X358" s="2"/>
      <c r="Y358" s="595" t="s">
        <v>1233</v>
      </c>
      <c r="Z358" s="596">
        <v>0.03</v>
      </c>
      <c r="AA358" s="608" t="s">
        <v>563</v>
      </c>
      <c r="AB358" s="34" t="s">
        <v>1386</v>
      </c>
      <c r="AC358" s="43" t="str">
        <f t="shared" si="6"/>
        <v>静岡県富士市</v>
      </c>
      <c r="AD358" s="32">
        <v>10.210000000000001</v>
      </c>
      <c r="AE358" s="34">
        <v>10.17</v>
      </c>
      <c r="AF358" s="51">
        <v>10.14</v>
      </c>
      <c r="AG358" s="1"/>
    </row>
    <row r="359" spans="22:33">
      <c r="V359" s="4" t="s">
        <v>440</v>
      </c>
      <c r="W359" s="4" t="s">
        <v>1387</v>
      </c>
      <c r="X359" s="2"/>
      <c r="Y359" s="595" t="s">
        <v>1233</v>
      </c>
      <c r="Z359" s="596">
        <v>0.03</v>
      </c>
      <c r="AA359" s="608" t="s">
        <v>563</v>
      </c>
      <c r="AB359" s="34" t="s">
        <v>1388</v>
      </c>
      <c r="AC359" s="43" t="str">
        <f t="shared" si="6"/>
        <v>静岡県磐田市</v>
      </c>
      <c r="AD359" s="32">
        <v>10.210000000000001</v>
      </c>
      <c r="AE359" s="34">
        <v>10.17</v>
      </c>
      <c r="AF359" s="51">
        <v>10.14</v>
      </c>
      <c r="AG359" s="1"/>
    </row>
    <row r="360" spans="22:33">
      <c r="V360" s="4" t="s">
        <v>440</v>
      </c>
      <c r="W360" s="4" t="s">
        <v>1389</v>
      </c>
      <c r="X360" s="2"/>
      <c r="Y360" s="595" t="s">
        <v>1233</v>
      </c>
      <c r="Z360" s="596">
        <v>0.03</v>
      </c>
      <c r="AA360" s="608" t="s">
        <v>563</v>
      </c>
      <c r="AB360" s="34" t="s">
        <v>1390</v>
      </c>
      <c r="AC360" s="43" t="str">
        <f t="shared" si="6"/>
        <v>静岡県焼津市</v>
      </c>
      <c r="AD360" s="32">
        <v>10.210000000000001</v>
      </c>
      <c r="AE360" s="34">
        <v>10.17</v>
      </c>
      <c r="AF360" s="51">
        <v>10.14</v>
      </c>
      <c r="AG360" s="1"/>
    </row>
    <row r="361" spans="22:33">
      <c r="V361" s="4" t="s">
        <v>440</v>
      </c>
      <c r="W361" s="4" t="s">
        <v>1391</v>
      </c>
      <c r="X361" s="2"/>
      <c r="Y361" s="595" t="s">
        <v>1233</v>
      </c>
      <c r="Z361" s="596">
        <v>0.03</v>
      </c>
      <c r="AA361" s="608" t="s">
        <v>563</v>
      </c>
      <c r="AB361" s="34" t="s">
        <v>1392</v>
      </c>
      <c r="AC361" s="43" t="str">
        <f t="shared" si="6"/>
        <v>静岡県掛川市</v>
      </c>
      <c r="AD361" s="32">
        <v>10.210000000000001</v>
      </c>
      <c r="AE361" s="34">
        <v>10.17</v>
      </c>
      <c r="AF361" s="51">
        <v>10.14</v>
      </c>
      <c r="AG361" s="1"/>
    </row>
    <row r="362" spans="22:33">
      <c r="V362" s="4" t="s">
        <v>440</v>
      </c>
      <c r="W362" s="4" t="s">
        <v>1393</v>
      </c>
      <c r="X362" s="2"/>
      <c r="Y362" s="595" t="s">
        <v>1233</v>
      </c>
      <c r="Z362" s="596">
        <v>0.03</v>
      </c>
      <c r="AA362" s="608" t="s">
        <v>563</v>
      </c>
      <c r="AB362" s="34" t="s">
        <v>1394</v>
      </c>
      <c r="AC362" s="43" t="str">
        <f t="shared" si="6"/>
        <v>静岡県藤枝市</v>
      </c>
      <c r="AD362" s="32">
        <v>10.210000000000001</v>
      </c>
      <c r="AE362" s="34">
        <v>10.17</v>
      </c>
      <c r="AF362" s="51">
        <v>10.14</v>
      </c>
      <c r="AG362" s="1"/>
    </row>
    <row r="363" spans="22:33">
      <c r="V363" s="4" t="s">
        <v>440</v>
      </c>
      <c r="W363" s="4" t="s">
        <v>1395</v>
      </c>
      <c r="X363" s="2"/>
      <c r="Y363" s="595" t="s">
        <v>1233</v>
      </c>
      <c r="Z363" s="596">
        <v>0.03</v>
      </c>
      <c r="AA363" s="608" t="s">
        <v>563</v>
      </c>
      <c r="AB363" s="34" t="s">
        <v>1396</v>
      </c>
      <c r="AC363" s="43" t="str">
        <f t="shared" si="6"/>
        <v>静岡県御殿場市</v>
      </c>
      <c r="AD363" s="32">
        <v>10.210000000000001</v>
      </c>
      <c r="AE363" s="34">
        <v>10.17</v>
      </c>
      <c r="AF363" s="51">
        <v>10.14</v>
      </c>
      <c r="AG363" s="1"/>
    </row>
    <row r="364" spans="22:33">
      <c r="V364" s="4" t="s">
        <v>440</v>
      </c>
      <c r="W364" s="4" t="s">
        <v>1397</v>
      </c>
      <c r="X364" s="2"/>
      <c r="Y364" s="595" t="s">
        <v>1233</v>
      </c>
      <c r="Z364" s="596">
        <v>0.03</v>
      </c>
      <c r="AA364" s="608" t="s">
        <v>563</v>
      </c>
      <c r="AB364" s="34" t="s">
        <v>1398</v>
      </c>
      <c r="AC364" s="43" t="str">
        <f t="shared" si="6"/>
        <v>静岡県袋井市</v>
      </c>
      <c r="AD364" s="32">
        <v>10.210000000000001</v>
      </c>
      <c r="AE364" s="34">
        <v>10.17</v>
      </c>
      <c r="AF364" s="51">
        <v>10.14</v>
      </c>
      <c r="AG364" s="1"/>
    </row>
    <row r="365" spans="22:33">
      <c r="V365" s="4" t="s">
        <v>440</v>
      </c>
      <c r="W365" s="4" t="s">
        <v>1399</v>
      </c>
      <c r="X365" s="2"/>
      <c r="Y365" s="595" t="s">
        <v>1233</v>
      </c>
      <c r="Z365" s="596">
        <v>0.03</v>
      </c>
      <c r="AA365" s="608" t="s">
        <v>563</v>
      </c>
      <c r="AB365" s="34" t="s">
        <v>1400</v>
      </c>
      <c r="AC365" s="43" t="str">
        <f t="shared" si="6"/>
        <v>静岡県裾野市</v>
      </c>
      <c r="AD365" s="32">
        <v>10.210000000000001</v>
      </c>
      <c r="AE365" s="34">
        <v>10.17</v>
      </c>
      <c r="AF365" s="51">
        <v>10.14</v>
      </c>
      <c r="AG365" s="1"/>
    </row>
    <row r="366" spans="22:33">
      <c r="V366" s="4" t="s">
        <v>440</v>
      </c>
      <c r="W366" s="4" t="s">
        <v>1401</v>
      </c>
      <c r="X366" s="2"/>
      <c r="Y366" s="595" t="s">
        <v>1233</v>
      </c>
      <c r="Z366" s="596">
        <v>0.03</v>
      </c>
      <c r="AA366" s="608" t="s">
        <v>563</v>
      </c>
      <c r="AB366" s="34" t="s">
        <v>1402</v>
      </c>
      <c r="AC366" s="43" t="str">
        <f t="shared" si="6"/>
        <v>静岡県函南町</v>
      </c>
      <c r="AD366" s="32">
        <v>10.210000000000001</v>
      </c>
      <c r="AE366" s="34">
        <v>10.17</v>
      </c>
      <c r="AF366" s="51">
        <v>10.14</v>
      </c>
      <c r="AG366" s="1"/>
    </row>
    <row r="367" spans="22:33">
      <c r="V367" s="4" t="s">
        <v>440</v>
      </c>
      <c r="W367" s="4" t="s">
        <v>652</v>
      </c>
      <c r="X367" s="2"/>
      <c r="Y367" s="595" t="s">
        <v>1233</v>
      </c>
      <c r="Z367" s="596">
        <v>0.03</v>
      </c>
      <c r="AA367" s="608" t="s">
        <v>563</v>
      </c>
      <c r="AB367" s="34" t="s">
        <v>1403</v>
      </c>
      <c r="AC367" s="43" t="str">
        <f t="shared" si="6"/>
        <v>静岡県清水町</v>
      </c>
      <c r="AD367" s="32">
        <v>10.210000000000001</v>
      </c>
      <c r="AE367" s="34">
        <v>10.17</v>
      </c>
      <c r="AF367" s="51">
        <v>10.14</v>
      </c>
      <c r="AG367" s="1"/>
    </row>
    <row r="368" spans="22:33">
      <c r="V368" s="4" t="s">
        <v>440</v>
      </c>
      <c r="W368" s="4" t="s">
        <v>1404</v>
      </c>
      <c r="X368" s="2"/>
      <c r="Y368" s="595" t="s">
        <v>1233</v>
      </c>
      <c r="Z368" s="596">
        <v>0.03</v>
      </c>
      <c r="AA368" s="608" t="s">
        <v>563</v>
      </c>
      <c r="AB368" s="34" t="s">
        <v>1405</v>
      </c>
      <c r="AC368" s="43" t="str">
        <f t="shared" si="6"/>
        <v>静岡県長泉町</v>
      </c>
      <c r="AD368" s="32">
        <v>10.210000000000001</v>
      </c>
      <c r="AE368" s="34">
        <v>10.17</v>
      </c>
      <c r="AF368" s="51">
        <v>10.14</v>
      </c>
      <c r="AG368" s="1"/>
    </row>
    <row r="369" spans="22:33">
      <c r="V369" s="4" t="s">
        <v>440</v>
      </c>
      <c r="W369" s="4" t="s">
        <v>1406</v>
      </c>
      <c r="X369" s="2"/>
      <c r="Y369" s="595" t="s">
        <v>1233</v>
      </c>
      <c r="Z369" s="596">
        <v>0.03</v>
      </c>
      <c r="AA369" s="608" t="s">
        <v>563</v>
      </c>
      <c r="AB369" s="34" t="s">
        <v>1407</v>
      </c>
      <c r="AC369" s="43" t="str">
        <f t="shared" si="6"/>
        <v>静岡県小山町</v>
      </c>
      <c r="AD369" s="32">
        <v>10.210000000000001</v>
      </c>
      <c r="AE369" s="34">
        <v>10.17</v>
      </c>
      <c r="AF369" s="51">
        <v>10.14</v>
      </c>
      <c r="AG369" s="1"/>
    </row>
    <row r="370" spans="22:33">
      <c r="V370" s="4" t="s">
        <v>440</v>
      </c>
      <c r="W370" s="4" t="s">
        <v>1408</v>
      </c>
      <c r="X370" s="2"/>
      <c r="Y370" s="595" t="s">
        <v>1233</v>
      </c>
      <c r="Z370" s="596">
        <v>0.03</v>
      </c>
      <c r="AA370" s="608" t="s">
        <v>563</v>
      </c>
      <c r="AB370" s="34" t="s">
        <v>1409</v>
      </c>
      <c r="AC370" s="43" t="str">
        <f t="shared" si="6"/>
        <v>静岡県川根本町</v>
      </c>
      <c r="AD370" s="32">
        <v>10.210000000000001</v>
      </c>
      <c r="AE370" s="34">
        <v>10.17</v>
      </c>
      <c r="AF370" s="51">
        <v>10.14</v>
      </c>
      <c r="AG370" s="1"/>
    </row>
    <row r="371" spans="22:33">
      <c r="V371" s="4" t="s">
        <v>440</v>
      </c>
      <c r="W371" s="4" t="s">
        <v>1410</v>
      </c>
      <c r="X371" s="2"/>
      <c r="Y371" s="595" t="s">
        <v>1233</v>
      </c>
      <c r="Z371" s="596">
        <v>0.03</v>
      </c>
      <c r="AA371" s="608" t="s">
        <v>563</v>
      </c>
      <c r="AB371" s="34" t="s">
        <v>1411</v>
      </c>
      <c r="AC371" s="43" t="str">
        <f t="shared" si="6"/>
        <v>静岡県森町</v>
      </c>
      <c r="AD371" s="32">
        <v>10.210000000000001</v>
      </c>
      <c r="AE371" s="34">
        <v>10.17</v>
      </c>
      <c r="AF371" s="51">
        <v>10.14</v>
      </c>
      <c r="AG371" s="1"/>
    </row>
    <row r="372" spans="22:33">
      <c r="V372" s="4" t="s">
        <v>440</v>
      </c>
      <c r="W372" s="4" t="s">
        <v>1412</v>
      </c>
      <c r="X372" s="2"/>
      <c r="Y372" s="595" t="s">
        <v>1233</v>
      </c>
      <c r="Z372" s="596">
        <v>0.03</v>
      </c>
      <c r="AA372" s="608" t="s">
        <v>571</v>
      </c>
      <c r="AB372" s="34" t="s">
        <v>1413</v>
      </c>
      <c r="AC372" s="43" t="str">
        <f t="shared" si="6"/>
        <v>愛知県豊橋市</v>
      </c>
      <c r="AD372" s="32">
        <v>10.210000000000001</v>
      </c>
      <c r="AE372" s="34">
        <v>10.17</v>
      </c>
      <c r="AF372" s="51">
        <v>10.14</v>
      </c>
      <c r="AG372" s="1"/>
    </row>
    <row r="373" spans="22:33">
      <c r="V373" s="4" t="s">
        <v>440</v>
      </c>
      <c r="W373" s="4" t="s">
        <v>1414</v>
      </c>
      <c r="X373" s="2"/>
      <c r="Y373" s="595" t="s">
        <v>1233</v>
      </c>
      <c r="Z373" s="596">
        <v>0.03</v>
      </c>
      <c r="AA373" s="608" t="s">
        <v>571</v>
      </c>
      <c r="AB373" s="34" t="s">
        <v>1415</v>
      </c>
      <c r="AC373" s="43" t="str">
        <f t="shared" si="6"/>
        <v>愛知県半田市</v>
      </c>
      <c r="AD373" s="32">
        <v>10.210000000000001</v>
      </c>
      <c r="AE373" s="34">
        <v>10.17</v>
      </c>
      <c r="AF373" s="51">
        <v>10.14</v>
      </c>
      <c r="AG373" s="1"/>
    </row>
    <row r="374" spans="22:33">
      <c r="V374" s="4" t="s">
        <v>440</v>
      </c>
      <c r="W374" s="4" t="s">
        <v>1416</v>
      </c>
      <c r="X374" s="2"/>
      <c r="Y374" s="595" t="s">
        <v>1233</v>
      </c>
      <c r="Z374" s="596">
        <v>0.03</v>
      </c>
      <c r="AA374" s="608" t="s">
        <v>571</v>
      </c>
      <c r="AB374" s="34" t="s">
        <v>1417</v>
      </c>
      <c r="AC374" s="43" t="str">
        <f t="shared" si="6"/>
        <v>愛知県豊川市</v>
      </c>
      <c r="AD374" s="32">
        <v>10.210000000000001</v>
      </c>
      <c r="AE374" s="34">
        <v>10.17</v>
      </c>
      <c r="AF374" s="51">
        <v>10.14</v>
      </c>
      <c r="AG374" s="1"/>
    </row>
    <row r="375" spans="22:33">
      <c r="V375" s="4" t="s">
        <v>440</v>
      </c>
      <c r="W375" s="4" t="s">
        <v>1418</v>
      </c>
      <c r="X375" s="2"/>
      <c r="Y375" s="595" t="s">
        <v>1233</v>
      </c>
      <c r="Z375" s="596">
        <v>0.03</v>
      </c>
      <c r="AA375" s="608" t="s">
        <v>571</v>
      </c>
      <c r="AB375" s="34" t="s">
        <v>1419</v>
      </c>
      <c r="AC375" s="43" t="str">
        <f t="shared" si="6"/>
        <v>愛知県蒲郡市</v>
      </c>
      <c r="AD375" s="32">
        <v>10.210000000000001</v>
      </c>
      <c r="AE375" s="34">
        <v>10.17</v>
      </c>
      <c r="AF375" s="51">
        <v>10.14</v>
      </c>
      <c r="AG375" s="1"/>
    </row>
    <row r="376" spans="22:33">
      <c r="V376" s="4" t="s">
        <v>440</v>
      </c>
      <c r="W376" s="4" t="s">
        <v>1420</v>
      </c>
      <c r="X376" s="2"/>
      <c r="Y376" s="595" t="s">
        <v>1233</v>
      </c>
      <c r="Z376" s="596">
        <v>0.03</v>
      </c>
      <c r="AA376" s="608" t="s">
        <v>571</v>
      </c>
      <c r="AB376" s="34" t="s">
        <v>1421</v>
      </c>
      <c r="AC376" s="43" t="str">
        <f t="shared" si="6"/>
        <v>愛知県常滑市</v>
      </c>
      <c r="AD376" s="32">
        <v>10.210000000000001</v>
      </c>
      <c r="AE376" s="34">
        <v>10.17</v>
      </c>
      <c r="AF376" s="51">
        <v>10.14</v>
      </c>
      <c r="AG376" s="1"/>
    </row>
    <row r="377" spans="22:33">
      <c r="V377" s="4" t="s">
        <v>440</v>
      </c>
      <c r="W377" s="4" t="s">
        <v>1422</v>
      </c>
      <c r="X377" s="2"/>
      <c r="Y377" s="595" t="s">
        <v>1233</v>
      </c>
      <c r="Z377" s="596">
        <v>0.03</v>
      </c>
      <c r="AA377" s="608" t="s">
        <v>571</v>
      </c>
      <c r="AB377" s="34" t="s">
        <v>1423</v>
      </c>
      <c r="AC377" s="43" t="str">
        <f t="shared" si="6"/>
        <v>愛知県小牧市</v>
      </c>
      <c r="AD377" s="32">
        <v>10.210000000000001</v>
      </c>
      <c r="AE377" s="34">
        <v>10.17</v>
      </c>
      <c r="AF377" s="51">
        <v>10.14</v>
      </c>
      <c r="AG377" s="1"/>
    </row>
    <row r="378" spans="22:33">
      <c r="V378" s="4" t="s">
        <v>440</v>
      </c>
      <c r="W378" s="4" t="s">
        <v>1424</v>
      </c>
      <c r="X378" s="2"/>
      <c r="Y378" s="595" t="s">
        <v>1233</v>
      </c>
      <c r="Z378" s="596">
        <v>0.03</v>
      </c>
      <c r="AA378" s="608" t="s">
        <v>571</v>
      </c>
      <c r="AB378" s="34" t="s">
        <v>1425</v>
      </c>
      <c r="AC378" s="43" t="str">
        <f t="shared" si="6"/>
        <v>愛知県新城市</v>
      </c>
      <c r="AD378" s="32">
        <v>10.210000000000001</v>
      </c>
      <c r="AE378" s="34">
        <v>10.17</v>
      </c>
      <c r="AF378" s="51">
        <v>10.14</v>
      </c>
      <c r="AG378" s="1"/>
    </row>
    <row r="379" spans="22:33">
      <c r="V379" s="4" t="s">
        <v>440</v>
      </c>
      <c r="W379" s="4" t="s">
        <v>1426</v>
      </c>
      <c r="X379" s="2"/>
      <c r="Y379" s="595" t="s">
        <v>1233</v>
      </c>
      <c r="Z379" s="596">
        <v>0.03</v>
      </c>
      <c r="AA379" s="608" t="s">
        <v>571</v>
      </c>
      <c r="AB379" s="34" t="s">
        <v>1427</v>
      </c>
      <c r="AC379" s="43" t="str">
        <f t="shared" si="6"/>
        <v>愛知県東海市</v>
      </c>
      <c r="AD379" s="32">
        <v>10.210000000000001</v>
      </c>
      <c r="AE379" s="34">
        <v>10.17</v>
      </c>
      <c r="AF379" s="51">
        <v>10.14</v>
      </c>
      <c r="AG379" s="1"/>
    </row>
    <row r="380" spans="22:33">
      <c r="V380" s="4" t="s">
        <v>440</v>
      </c>
      <c r="W380" s="4" t="s">
        <v>1428</v>
      </c>
      <c r="X380" s="2"/>
      <c r="Y380" s="595" t="s">
        <v>1233</v>
      </c>
      <c r="Z380" s="596">
        <v>0.03</v>
      </c>
      <c r="AA380" s="608" t="s">
        <v>571</v>
      </c>
      <c r="AB380" s="34" t="s">
        <v>1429</v>
      </c>
      <c r="AC380" s="43" t="str">
        <f t="shared" si="6"/>
        <v>愛知県大府市</v>
      </c>
      <c r="AD380" s="32">
        <v>10.210000000000001</v>
      </c>
      <c r="AE380" s="34">
        <v>10.17</v>
      </c>
      <c r="AF380" s="51">
        <v>10.14</v>
      </c>
      <c r="AG380" s="1"/>
    </row>
    <row r="381" spans="22:33">
      <c r="V381" s="4" t="s">
        <v>440</v>
      </c>
      <c r="W381" s="4" t="s">
        <v>1430</v>
      </c>
      <c r="X381" s="2"/>
      <c r="Y381" s="595" t="s">
        <v>1233</v>
      </c>
      <c r="Z381" s="596">
        <v>0.03</v>
      </c>
      <c r="AA381" s="608" t="s">
        <v>571</v>
      </c>
      <c r="AB381" s="34" t="s">
        <v>1431</v>
      </c>
      <c r="AC381" s="43" t="str">
        <f t="shared" si="6"/>
        <v>愛知県知多市</v>
      </c>
      <c r="AD381" s="32">
        <v>10.210000000000001</v>
      </c>
      <c r="AE381" s="34">
        <v>10.17</v>
      </c>
      <c r="AF381" s="51">
        <v>10.14</v>
      </c>
      <c r="AG381" s="1"/>
    </row>
    <row r="382" spans="22:33">
      <c r="V382" s="4" t="s">
        <v>440</v>
      </c>
      <c r="W382" s="4" t="s">
        <v>1432</v>
      </c>
      <c r="X382" s="2"/>
      <c r="Y382" s="595" t="s">
        <v>1233</v>
      </c>
      <c r="Z382" s="596">
        <v>0.03</v>
      </c>
      <c r="AA382" s="608" t="s">
        <v>571</v>
      </c>
      <c r="AB382" s="34" t="s">
        <v>1433</v>
      </c>
      <c r="AC382" s="43" t="str">
        <f t="shared" si="6"/>
        <v>愛知県高浜市</v>
      </c>
      <c r="AD382" s="32">
        <v>10.210000000000001</v>
      </c>
      <c r="AE382" s="34">
        <v>10.17</v>
      </c>
      <c r="AF382" s="51">
        <v>10.14</v>
      </c>
      <c r="AG382" s="1"/>
    </row>
    <row r="383" spans="22:33">
      <c r="V383" s="4" t="s">
        <v>440</v>
      </c>
      <c r="W383" s="4" t="s">
        <v>1434</v>
      </c>
      <c r="X383" s="2"/>
      <c r="Y383" s="595" t="s">
        <v>1233</v>
      </c>
      <c r="Z383" s="596">
        <v>0.03</v>
      </c>
      <c r="AA383" s="608" t="s">
        <v>571</v>
      </c>
      <c r="AB383" s="34" t="s">
        <v>1435</v>
      </c>
      <c r="AC383" s="43" t="str">
        <f t="shared" si="6"/>
        <v>愛知県田原市</v>
      </c>
      <c r="AD383" s="32">
        <v>10.210000000000001</v>
      </c>
      <c r="AE383" s="34">
        <v>10.17</v>
      </c>
      <c r="AF383" s="51">
        <v>10.14</v>
      </c>
      <c r="AG383" s="1"/>
    </row>
    <row r="384" spans="22:33">
      <c r="V384" s="4" t="s">
        <v>440</v>
      </c>
      <c r="W384" s="4" t="s">
        <v>1436</v>
      </c>
      <c r="X384" s="2"/>
      <c r="Y384" s="595" t="s">
        <v>1233</v>
      </c>
      <c r="Z384" s="596">
        <v>0.03</v>
      </c>
      <c r="AA384" s="608" t="s">
        <v>571</v>
      </c>
      <c r="AB384" s="34" t="s">
        <v>1437</v>
      </c>
      <c r="AC384" s="43" t="str">
        <f t="shared" si="6"/>
        <v>愛知県大口町</v>
      </c>
      <c r="AD384" s="32">
        <v>10.210000000000001</v>
      </c>
      <c r="AE384" s="34">
        <v>10.17</v>
      </c>
      <c r="AF384" s="51">
        <v>10.14</v>
      </c>
      <c r="AG384" s="1"/>
    </row>
    <row r="385" spans="22:33">
      <c r="V385" s="4" t="s">
        <v>440</v>
      </c>
      <c r="W385" s="4" t="s">
        <v>1438</v>
      </c>
      <c r="X385" s="2"/>
      <c r="Y385" s="595" t="s">
        <v>1233</v>
      </c>
      <c r="Z385" s="596">
        <v>0.03</v>
      </c>
      <c r="AA385" s="608" t="s">
        <v>571</v>
      </c>
      <c r="AB385" s="34" t="s">
        <v>1439</v>
      </c>
      <c r="AC385" s="43" t="str">
        <f t="shared" si="6"/>
        <v>愛知県扶桑町</v>
      </c>
      <c r="AD385" s="32">
        <v>10.210000000000001</v>
      </c>
      <c r="AE385" s="34">
        <v>10.17</v>
      </c>
      <c r="AF385" s="51">
        <v>10.14</v>
      </c>
      <c r="AG385" s="1"/>
    </row>
    <row r="386" spans="22:33">
      <c r="V386" s="4" t="s">
        <v>440</v>
      </c>
      <c r="W386" s="4" t="s">
        <v>1440</v>
      </c>
      <c r="X386" s="2"/>
      <c r="Y386" s="595" t="s">
        <v>1233</v>
      </c>
      <c r="Z386" s="596">
        <v>0.03</v>
      </c>
      <c r="AA386" s="608" t="s">
        <v>571</v>
      </c>
      <c r="AB386" s="34" t="s">
        <v>1441</v>
      </c>
      <c r="AC386" s="43" t="str">
        <f t="shared" si="6"/>
        <v>愛知県阿久比町</v>
      </c>
      <c r="AD386" s="32">
        <v>10.210000000000001</v>
      </c>
      <c r="AE386" s="34">
        <v>10.17</v>
      </c>
      <c r="AF386" s="51">
        <v>10.14</v>
      </c>
      <c r="AG386" s="1"/>
    </row>
    <row r="387" spans="22:33">
      <c r="V387" s="4" t="s">
        <v>440</v>
      </c>
      <c r="W387" s="4" t="s">
        <v>1351</v>
      </c>
      <c r="X387" s="2"/>
      <c r="Y387" s="595" t="s">
        <v>1233</v>
      </c>
      <c r="Z387" s="596">
        <v>0.03</v>
      </c>
      <c r="AA387" s="608" t="s">
        <v>571</v>
      </c>
      <c r="AB387" s="34" t="s">
        <v>1442</v>
      </c>
      <c r="AC387" s="43" t="str">
        <f t="shared" si="6"/>
        <v>愛知県東浦町</v>
      </c>
      <c r="AD387" s="32">
        <v>10.210000000000001</v>
      </c>
      <c r="AE387" s="34">
        <v>10.17</v>
      </c>
      <c r="AF387" s="51">
        <v>10.14</v>
      </c>
      <c r="AG387" s="1"/>
    </row>
    <row r="388" spans="22:33">
      <c r="V388" s="4" t="s">
        <v>440</v>
      </c>
      <c r="W388" s="4" t="s">
        <v>1443</v>
      </c>
      <c r="X388" s="2"/>
      <c r="Y388" s="595" t="s">
        <v>1233</v>
      </c>
      <c r="Z388" s="596">
        <v>0.03</v>
      </c>
      <c r="AA388" s="608" t="s">
        <v>571</v>
      </c>
      <c r="AB388" s="34" t="s">
        <v>1444</v>
      </c>
      <c r="AC388" s="43" t="str">
        <f t="shared" ref="AC388:AC451" si="7">AA388&amp;AB388</f>
        <v>愛知県武豊町</v>
      </c>
      <c r="AD388" s="32">
        <v>10.210000000000001</v>
      </c>
      <c r="AE388" s="34">
        <v>10.17</v>
      </c>
      <c r="AF388" s="51">
        <v>10.14</v>
      </c>
      <c r="AG388" s="1"/>
    </row>
    <row r="389" spans="22:33">
      <c r="V389" s="4" t="s">
        <v>440</v>
      </c>
      <c r="W389" s="4" t="s">
        <v>1445</v>
      </c>
      <c r="X389" s="2"/>
      <c r="Y389" s="595" t="s">
        <v>1233</v>
      </c>
      <c r="Z389" s="596">
        <v>0.03</v>
      </c>
      <c r="AA389" s="608" t="s">
        <v>571</v>
      </c>
      <c r="AB389" s="34" t="s">
        <v>1446</v>
      </c>
      <c r="AC389" s="43" t="str">
        <f t="shared" si="7"/>
        <v>愛知県幸田町</v>
      </c>
      <c r="AD389" s="32">
        <v>10.210000000000001</v>
      </c>
      <c r="AE389" s="34">
        <v>10.17</v>
      </c>
      <c r="AF389" s="51">
        <v>10.14</v>
      </c>
      <c r="AG389" s="1"/>
    </row>
    <row r="390" spans="22:33">
      <c r="V390" s="4" t="s">
        <v>440</v>
      </c>
      <c r="W390" s="4" t="s">
        <v>1447</v>
      </c>
      <c r="X390" s="2"/>
      <c r="Y390" s="595" t="s">
        <v>1233</v>
      </c>
      <c r="Z390" s="596">
        <v>0.03</v>
      </c>
      <c r="AA390" s="608" t="s">
        <v>571</v>
      </c>
      <c r="AB390" s="34" t="s">
        <v>1448</v>
      </c>
      <c r="AC390" s="43" t="str">
        <f t="shared" si="7"/>
        <v>愛知県設楽町</v>
      </c>
      <c r="AD390" s="32">
        <v>10.210000000000001</v>
      </c>
      <c r="AE390" s="34">
        <v>10.17</v>
      </c>
      <c r="AF390" s="51">
        <v>10.14</v>
      </c>
      <c r="AG390" s="1"/>
    </row>
    <row r="391" spans="22:33">
      <c r="V391" s="4" t="s">
        <v>440</v>
      </c>
      <c r="W391" s="4" t="s">
        <v>1449</v>
      </c>
      <c r="X391" s="2"/>
      <c r="Y391" s="595" t="s">
        <v>1233</v>
      </c>
      <c r="Z391" s="596">
        <v>0.03</v>
      </c>
      <c r="AA391" s="608" t="s">
        <v>571</v>
      </c>
      <c r="AB391" s="34" t="s">
        <v>1450</v>
      </c>
      <c r="AC391" s="43" t="str">
        <f t="shared" si="7"/>
        <v>愛知県東栄町</v>
      </c>
      <c r="AD391" s="32">
        <v>10.210000000000001</v>
      </c>
      <c r="AE391" s="34">
        <v>10.17</v>
      </c>
      <c r="AF391" s="51">
        <v>10.14</v>
      </c>
      <c r="AG391" s="1"/>
    </row>
    <row r="392" spans="22:33">
      <c r="V392" s="4" t="s">
        <v>440</v>
      </c>
      <c r="W392" s="4" t="s">
        <v>1451</v>
      </c>
      <c r="X392" s="2"/>
      <c r="Y392" s="595" t="s">
        <v>1233</v>
      </c>
      <c r="Z392" s="596">
        <v>0.03</v>
      </c>
      <c r="AA392" s="608" t="s">
        <v>571</v>
      </c>
      <c r="AB392" s="34" t="s">
        <v>1452</v>
      </c>
      <c r="AC392" s="43" t="str">
        <f t="shared" si="7"/>
        <v>愛知県豊根村</v>
      </c>
      <c r="AD392" s="32">
        <v>10.210000000000001</v>
      </c>
      <c r="AE392" s="34">
        <v>10.17</v>
      </c>
      <c r="AF392" s="51">
        <v>10.14</v>
      </c>
      <c r="AG392" s="1"/>
    </row>
    <row r="393" spans="22:33">
      <c r="V393" s="4" t="s">
        <v>440</v>
      </c>
      <c r="W393" s="4" t="s">
        <v>1453</v>
      </c>
      <c r="X393" s="2"/>
      <c r="Y393" s="595" t="s">
        <v>1233</v>
      </c>
      <c r="Z393" s="596">
        <v>0.03</v>
      </c>
      <c r="AA393" s="608" t="s">
        <v>579</v>
      </c>
      <c r="AB393" s="34" t="s">
        <v>1454</v>
      </c>
      <c r="AC393" s="43" t="str">
        <f t="shared" si="7"/>
        <v>三重県名張市</v>
      </c>
      <c r="AD393" s="32">
        <v>10.210000000000001</v>
      </c>
      <c r="AE393" s="34">
        <v>10.17</v>
      </c>
      <c r="AF393" s="51">
        <v>10.14</v>
      </c>
      <c r="AG393" s="1"/>
    </row>
    <row r="394" spans="22:33">
      <c r="V394" s="4" t="s">
        <v>440</v>
      </c>
      <c r="W394" s="4" t="s">
        <v>1455</v>
      </c>
      <c r="X394" s="2"/>
      <c r="Y394" s="595" t="s">
        <v>1233</v>
      </c>
      <c r="Z394" s="596">
        <v>0.03</v>
      </c>
      <c r="AA394" s="608" t="s">
        <v>579</v>
      </c>
      <c r="AB394" s="34" t="s">
        <v>1456</v>
      </c>
      <c r="AC394" s="43" t="str">
        <f t="shared" si="7"/>
        <v>三重県いなべ市</v>
      </c>
      <c r="AD394" s="32">
        <v>10.210000000000001</v>
      </c>
      <c r="AE394" s="34">
        <v>10.17</v>
      </c>
      <c r="AF394" s="51">
        <v>10.14</v>
      </c>
      <c r="AG394" s="1"/>
    </row>
    <row r="395" spans="22:33">
      <c r="V395" s="4" t="s">
        <v>440</v>
      </c>
      <c r="W395" s="4" t="s">
        <v>1457</v>
      </c>
      <c r="X395" s="2"/>
      <c r="Y395" s="595" t="s">
        <v>1233</v>
      </c>
      <c r="Z395" s="596">
        <v>0.03</v>
      </c>
      <c r="AA395" s="608" t="s">
        <v>579</v>
      </c>
      <c r="AB395" s="34" t="s">
        <v>1458</v>
      </c>
      <c r="AC395" s="43" t="str">
        <f t="shared" si="7"/>
        <v>三重県伊賀市</v>
      </c>
      <c r="AD395" s="32">
        <v>10.210000000000001</v>
      </c>
      <c r="AE395" s="34">
        <v>10.17</v>
      </c>
      <c r="AF395" s="51">
        <v>10.14</v>
      </c>
      <c r="AG395" s="1"/>
    </row>
    <row r="396" spans="22:33">
      <c r="V396" s="4" t="s">
        <v>440</v>
      </c>
      <c r="W396" s="4" t="s">
        <v>1459</v>
      </c>
      <c r="X396" s="2"/>
      <c r="Y396" s="595" t="s">
        <v>1233</v>
      </c>
      <c r="Z396" s="596">
        <v>0.03</v>
      </c>
      <c r="AA396" s="608" t="s">
        <v>579</v>
      </c>
      <c r="AB396" s="34" t="s">
        <v>1460</v>
      </c>
      <c r="AC396" s="43" t="str">
        <f t="shared" si="7"/>
        <v>三重県木曽岬町</v>
      </c>
      <c r="AD396" s="32">
        <v>10.210000000000001</v>
      </c>
      <c r="AE396" s="34">
        <v>10.17</v>
      </c>
      <c r="AF396" s="51">
        <v>10.14</v>
      </c>
      <c r="AG396" s="1"/>
    </row>
    <row r="397" spans="22:33">
      <c r="V397" s="4" t="s">
        <v>440</v>
      </c>
      <c r="W397" s="4" t="s">
        <v>1461</v>
      </c>
      <c r="X397" s="2"/>
      <c r="Y397" s="595" t="s">
        <v>1233</v>
      </c>
      <c r="Z397" s="596">
        <v>0.03</v>
      </c>
      <c r="AA397" s="608" t="s">
        <v>579</v>
      </c>
      <c r="AB397" s="34" t="s">
        <v>1462</v>
      </c>
      <c r="AC397" s="43" t="str">
        <f t="shared" si="7"/>
        <v>三重県東員町</v>
      </c>
      <c r="AD397" s="32">
        <v>10.210000000000001</v>
      </c>
      <c r="AE397" s="34">
        <v>10.17</v>
      </c>
      <c r="AF397" s="51">
        <v>10.14</v>
      </c>
      <c r="AG397" s="1"/>
    </row>
    <row r="398" spans="22:33">
      <c r="V398" s="4" t="s">
        <v>440</v>
      </c>
      <c r="W398" s="4" t="s">
        <v>1463</v>
      </c>
      <c r="X398" s="2"/>
      <c r="Y398" s="595" t="s">
        <v>1233</v>
      </c>
      <c r="Z398" s="596">
        <v>0.03</v>
      </c>
      <c r="AA398" s="608" t="s">
        <v>579</v>
      </c>
      <c r="AB398" s="34" t="s">
        <v>1464</v>
      </c>
      <c r="AC398" s="43" t="str">
        <f t="shared" si="7"/>
        <v>三重県菰野町</v>
      </c>
      <c r="AD398" s="32">
        <v>10.210000000000001</v>
      </c>
      <c r="AE398" s="34">
        <v>10.17</v>
      </c>
      <c r="AF398" s="51">
        <v>10.14</v>
      </c>
      <c r="AG398" s="1"/>
    </row>
    <row r="399" spans="22:33">
      <c r="V399" s="4" t="s">
        <v>440</v>
      </c>
      <c r="W399" s="4" t="s">
        <v>1465</v>
      </c>
      <c r="X399" s="2"/>
      <c r="Y399" s="595" t="s">
        <v>1233</v>
      </c>
      <c r="Z399" s="596">
        <v>0.03</v>
      </c>
      <c r="AA399" s="608" t="s">
        <v>579</v>
      </c>
      <c r="AB399" s="34" t="s">
        <v>1466</v>
      </c>
      <c r="AC399" s="43" t="str">
        <f t="shared" si="7"/>
        <v>三重県朝日町</v>
      </c>
      <c r="AD399" s="32">
        <v>10.210000000000001</v>
      </c>
      <c r="AE399" s="34">
        <v>10.17</v>
      </c>
      <c r="AF399" s="51">
        <v>10.14</v>
      </c>
      <c r="AG399" s="1"/>
    </row>
    <row r="400" spans="22:33">
      <c r="V400" s="4" t="s">
        <v>440</v>
      </c>
      <c r="W400" s="4" t="s">
        <v>1467</v>
      </c>
      <c r="X400" s="2"/>
      <c r="Y400" s="595" t="s">
        <v>1233</v>
      </c>
      <c r="Z400" s="596">
        <v>0.03</v>
      </c>
      <c r="AA400" s="608" t="s">
        <v>579</v>
      </c>
      <c r="AB400" s="34" t="s">
        <v>1468</v>
      </c>
      <c r="AC400" s="43" t="str">
        <f t="shared" si="7"/>
        <v>三重県川越町</v>
      </c>
      <c r="AD400" s="32">
        <v>10.210000000000001</v>
      </c>
      <c r="AE400" s="34">
        <v>10.17</v>
      </c>
      <c r="AF400" s="51">
        <v>10.14</v>
      </c>
      <c r="AG400" s="1"/>
    </row>
    <row r="401" spans="22:33">
      <c r="V401" s="4" t="s">
        <v>440</v>
      </c>
      <c r="W401" s="4" t="s">
        <v>1469</v>
      </c>
      <c r="X401" s="2"/>
      <c r="Y401" s="595" t="s">
        <v>1233</v>
      </c>
      <c r="Z401" s="596">
        <v>0.03</v>
      </c>
      <c r="AA401" s="608" t="s">
        <v>587</v>
      </c>
      <c r="AB401" s="34" t="s">
        <v>1470</v>
      </c>
      <c r="AC401" s="43" t="str">
        <f t="shared" si="7"/>
        <v>滋賀県長浜市</v>
      </c>
      <c r="AD401" s="32">
        <v>10.210000000000001</v>
      </c>
      <c r="AE401" s="34">
        <v>10.17</v>
      </c>
      <c r="AF401" s="51">
        <v>10.14</v>
      </c>
      <c r="AG401" s="1"/>
    </row>
    <row r="402" spans="22:33">
      <c r="V402" s="4" t="s">
        <v>440</v>
      </c>
      <c r="W402" s="4" t="s">
        <v>1471</v>
      </c>
      <c r="X402" s="2"/>
      <c r="Y402" s="595" t="s">
        <v>1233</v>
      </c>
      <c r="Z402" s="596">
        <v>0.03</v>
      </c>
      <c r="AA402" s="608" t="s">
        <v>587</v>
      </c>
      <c r="AB402" s="34" t="s">
        <v>1472</v>
      </c>
      <c r="AC402" s="43" t="str">
        <f t="shared" si="7"/>
        <v>滋賀県近江八幡市</v>
      </c>
      <c r="AD402" s="32">
        <v>10.210000000000001</v>
      </c>
      <c r="AE402" s="34">
        <v>10.17</v>
      </c>
      <c r="AF402" s="51">
        <v>10.14</v>
      </c>
      <c r="AG402" s="1"/>
    </row>
    <row r="403" spans="22:33">
      <c r="V403" s="4" t="s">
        <v>440</v>
      </c>
      <c r="W403" s="4" t="s">
        <v>1473</v>
      </c>
      <c r="X403" s="2"/>
      <c r="Y403" s="595" t="s">
        <v>1233</v>
      </c>
      <c r="Z403" s="596">
        <v>0.03</v>
      </c>
      <c r="AA403" s="608" t="s">
        <v>587</v>
      </c>
      <c r="AB403" s="34" t="s">
        <v>1474</v>
      </c>
      <c r="AC403" s="43" t="str">
        <f t="shared" si="7"/>
        <v>滋賀県野洲市</v>
      </c>
      <c r="AD403" s="32">
        <v>10.210000000000001</v>
      </c>
      <c r="AE403" s="34">
        <v>10.17</v>
      </c>
      <c r="AF403" s="51">
        <v>10.14</v>
      </c>
      <c r="AG403" s="1"/>
    </row>
    <row r="404" spans="22:33">
      <c r="V404" s="4" t="s">
        <v>440</v>
      </c>
      <c r="W404" s="4" t="s">
        <v>1475</v>
      </c>
      <c r="X404" s="2"/>
      <c r="Y404" s="595" t="s">
        <v>1233</v>
      </c>
      <c r="Z404" s="596">
        <v>0.03</v>
      </c>
      <c r="AA404" s="608" t="s">
        <v>587</v>
      </c>
      <c r="AB404" s="34" t="s">
        <v>1476</v>
      </c>
      <c r="AC404" s="43" t="str">
        <f t="shared" si="7"/>
        <v>滋賀県湖南市</v>
      </c>
      <c r="AD404" s="32">
        <v>10.210000000000001</v>
      </c>
      <c r="AE404" s="34">
        <v>10.17</v>
      </c>
      <c r="AF404" s="51">
        <v>10.14</v>
      </c>
      <c r="AG404" s="1"/>
    </row>
    <row r="405" spans="22:33">
      <c r="V405" s="4" t="s">
        <v>440</v>
      </c>
      <c r="W405" s="4" t="s">
        <v>1477</v>
      </c>
      <c r="X405" s="2"/>
      <c r="Y405" s="595" t="s">
        <v>1233</v>
      </c>
      <c r="Z405" s="596">
        <v>0.03</v>
      </c>
      <c r="AA405" s="608" t="s">
        <v>587</v>
      </c>
      <c r="AB405" s="34" t="s">
        <v>1478</v>
      </c>
      <c r="AC405" s="43" t="str">
        <f t="shared" si="7"/>
        <v>滋賀県高島市</v>
      </c>
      <c r="AD405" s="32">
        <v>10.210000000000001</v>
      </c>
      <c r="AE405" s="34">
        <v>10.17</v>
      </c>
      <c r="AF405" s="51">
        <v>10.14</v>
      </c>
      <c r="AG405" s="1"/>
    </row>
    <row r="406" spans="22:33">
      <c r="V406" s="4" t="s">
        <v>440</v>
      </c>
      <c r="W406" s="4" t="s">
        <v>1479</v>
      </c>
      <c r="X406" s="2"/>
      <c r="Y406" s="595" t="s">
        <v>1233</v>
      </c>
      <c r="Z406" s="596">
        <v>0.03</v>
      </c>
      <c r="AA406" s="608" t="s">
        <v>587</v>
      </c>
      <c r="AB406" s="34" t="s">
        <v>1480</v>
      </c>
      <c r="AC406" s="43" t="str">
        <f t="shared" si="7"/>
        <v>滋賀県東近江市</v>
      </c>
      <c r="AD406" s="32">
        <v>10.210000000000001</v>
      </c>
      <c r="AE406" s="34">
        <v>10.17</v>
      </c>
      <c r="AF406" s="51">
        <v>10.14</v>
      </c>
      <c r="AG406" s="1"/>
    </row>
    <row r="407" spans="22:33">
      <c r="V407" s="4" t="s">
        <v>440</v>
      </c>
      <c r="W407" s="4" t="s">
        <v>1481</v>
      </c>
      <c r="X407" s="2"/>
      <c r="Y407" s="595" t="s">
        <v>1233</v>
      </c>
      <c r="Z407" s="596">
        <v>0.03</v>
      </c>
      <c r="AA407" s="608" t="s">
        <v>587</v>
      </c>
      <c r="AB407" s="34" t="s">
        <v>1482</v>
      </c>
      <c r="AC407" s="43" t="str">
        <f t="shared" si="7"/>
        <v>滋賀県日野町</v>
      </c>
      <c r="AD407" s="32">
        <v>10.210000000000001</v>
      </c>
      <c r="AE407" s="34">
        <v>10.17</v>
      </c>
      <c r="AF407" s="51">
        <v>10.14</v>
      </c>
      <c r="AG407" s="1"/>
    </row>
    <row r="408" spans="22:33">
      <c r="V408" s="4" t="s">
        <v>440</v>
      </c>
      <c r="W408" s="4" t="s">
        <v>1483</v>
      </c>
      <c r="X408" s="2"/>
      <c r="Y408" s="595" t="s">
        <v>1233</v>
      </c>
      <c r="Z408" s="596">
        <v>0.03</v>
      </c>
      <c r="AA408" s="608" t="s">
        <v>587</v>
      </c>
      <c r="AB408" s="34" t="s">
        <v>1484</v>
      </c>
      <c r="AC408" s="43" t="str">
        <f t="shared" si="7"/>
        <v>滋賀県竜王町</v>
      </c>
      <c r="AD408" s="32">
        <v>10.210000000000001</v>
      </c>
      <c r="AE408" s="34">
        <v>10.17</v>
      </c>
      <c r="AF408" s="51">
        <v>10.14</v>
      </c>
      <c r="AG408" s="1"/>
    </row>
    <row r="409" spans="22:33">
      <c r="V409" s="4" t="s">
        <v>440</v>
      </c>
      <c r="W409" s="4" t="s">
        <v>1485</v>
      </c>
      <c r="X409" s="2"/>
      <c r="Y409" s="595" t="s">
        <v>1233</v>
      </c>
      <c r="Z409" s="596">
        <v>0.03</v>
      </c>
      <c r="AA409" s="608" t="s">
        <v>596</v>
      </c>
      <c r="AB409" s="34" t="s">
        <v>1486</v>
      </c>
      <c r="AC409" s="43" t="str">
        <f t="shared" si="7"/>
        <v>京都府久御山町</v>
      </c>
      <c r="AD409" s="32">
        <v>10.210000000000001</v>
      </c>
      <c r="AE409" s="34">
        <v>10.17</v>
      </c>
      <c r="AF409" s="51">
        <v>10.14</v>
      </c>
      <c r="AG409" s="1"/>
    </row>
    <row r="410" spans="22:33">
      <c r="V410" s="4" t="s">
        <v>440</v>
      </c>
      <c r="W410" s="4" t="s">
        <v>1487</v>
      </c>
      <c r="X410" s="2"/>
      <c r="Y410" s="595" t="s">
        <v>1233</v>
      </c>
      <c r="Z410" s="596">
        <v>0.03</v>
      </c>
      <c r="AA410" s="608" t="s">
        <v>615</v>
      </c>
      <c r="AB410" s="34" t="s">
        <v>1488</v>
      </c>
      <c r="AC410" s="43" t="str">
        <f t="shared" si="7"/>
        <v>兵庫県姫路市</v>
      </c>
      <c r="AD410" s="32">
        <v>10.210000000000001</v>
      </c>
      <c r="AE410" s="34">
        <v>10.17</v>
      </c>
      <c r="AF410" s="51">
        <v>10.14</v>
      </c>
      <c r="AG410" s="1"/>
    </row>
    <row r="411" spans="22:33">
      <c r="V411" s="4" t="s">
        <v>440</v>
      </c>
      <c r="W411" s="4" t="s">
        <v>1489</v>
      </c>
      <c r="X411" s="2"/>
      <c r="Y411" s="595" t="s">
        <v>1233</v>
      </c>
      <c r="Z411" s="596">
        <v>0.03</v>
      </c>
      <c r="AA411" s="608" t="s">
        <v>615</v>
      </c>
      <c r="AB411" s="34" t="s">
        <v>1490</v>
      </c>
      <c r="AC411" s="43" t="str">
        <f t="shared" si="7"/>
        <v>兵庫県加古川市</v>
      </c>
      <c r="AD411" s="32">
        <v>10.210000000000001</v>
      </c>
      <c r="AE411" s="34">
        <v>10.17</v>
      </c>
      <c r="AF411" s="51">
        <v>10.14</v>
      </c>
      <c r="AG411" s="1"/>
    </row>
    <row r="412" spans="22:33">
      <c r="V412" s="4" t="s">
        <v>440</v>
      </c>
      <c r="W412" s="4" t="s">
        <v>1491</v>
      </c>
      <c r="X412" s="2"/>
      <c r="Y412" s="595" t="s">
        <v>1233</v>
      </c>
      <c r="Z412" s="596">
        <v>0.03</v>
      </c>
      <c r="AA412" s="608" t="s">
        <v>615</v>
      </c>
      <c r="AB412" s="34" t="s">
        <v>1492</v>
      </c>
      <c r="AC412" s="43" t="str">
        <f t="shared" si="7"/>
        <v>兵庫県三木市</v>
      </c>
      <c r="AD412" s="32">
        <v>10.210000000000001</v>
      </c>
      <c r="AE412" s="34">
        <v>10.17</v>
      </c>
      <c r="AF412" s="51">
        <v>10.14</v>
      </c>
      <c r="AG412" s="1"/>
    </row>
    <row r="413" spans="22:33">
      <c r="V413" s="4" t="s">
        <v>440</v>
      </c>
      <c r="W413" s="4" t="s">
        <v>1493</v>
      </c>
      <c r="X413" s="2"/>
      <c r="Y413" s="595" t="s">
        <v>1233</v>
      </c>
      <c r="Z413" s="596">
        <v>0.03</v>
      </c>
      <c r="AA413" s="608" t="s">
        <v>615</v>
      </c>
      <c r="AB413" s="34" t="s">
        <v>1494</v>
      </c>
      <c r="AC413" s="43" t="str">
        <f t="shared" si="7"/>
        <v>兵庫県高砂市</v>
      </c>
      <c r="AD413" s="32">
        <v>10.210000000000001</v>
      </c>
      <c r="AE413" s="34">
        <v>10.17</v>
      </c>
      <c r="AF413" s="51">
        <v>10.14</v>
      </c>
      <c r="AG413" s="1"/>
    </row>
    <row r="414" spans="22:33">
      <c r="V414" s="4" t="s">
        <v>440</v>
      </c>
      <c r="W414" s="4" t="s">
        <v>1495</v>
      </c>
      <c r="X414" s="2"/>
      <c r="Y414" s="595" t="s">
        <v>1233</v>
      </c>
      <c r="Z414" s="596">
        <v>0.03</v>
      </c>
      <c r="AA414" s="608" t="s">
        <v>615</v>
      </c>
      <c r="AB414" s="34" t="s">
        <v>1496</v>
      </c>
      <c r="AC414" s="43" t="str">
        <f t="shared" si="7"/>
        <v>兵庫県稲美町</v>
      </c>
      <c r="AD414" s="32">
        <v>10.210000000000001</v>
      </c>
      <c r="AE414" s="34">
        <v>10.17</v>
      </c>
      <c r="AF414" s="51">
        <v>10.14</v>
      </c>
      <c r="AG414" s="1"/>
    </row>
    <row r="415" spans="22:33">
      <c r="V415" s="4" t="s">
        <v>448</v>
      </c>
      <c r="W415" s="4" t="s">
        <v>839</v>
      </c>
      <c r="X415" s="2"/>
      <c r="Y415" s="595" t="s">
        <v>1233</v>
      </c>
      <c r="Z415" s="596">
        <v>0.03</v>
      </c>
      <c r="AA415" s="608" t="s">
        <v>615</v>
      </c>
      <c r="AB415" s="34" t="s">
        <v>1497</v>
      </c>
      <c r="AC415" s="43" t="str">
        <f t="shared" si="7"/>
        <v>兵庫県播磨町</v>
      </c>
      <c r="AD415" s="32">
        <v>10.210000000000001</v>
      </c>
      <c r="AE415" s="34">
        <v>10.17</v>
      </c>
      <c r="AF415" s="51">
        <v>10.14</v>
      </c>
      <c r="AG415" s="1"/>
    </row>
    <row r="416" spans="22:33">
      <c r="V416" s="4" t="s">
        <v>448</v>
      </c>
      <c r="W416" s="4" t="s">
        <v>841</v>
      </c>
      <c r="X416" s="2"/>
      <c r="Y416" s="595" t="s">
        <v>1233</v>
      </c>
      <c r="Z416" s="596">
        <v>0.03</v>
      </c>
      <c r="AA416" s="608" t="s">
        <v>623</v>
      </c>
      <c r="AB416" s="34" t="s">
        <v>1498</v>
      </c>
      <c r="AC416" s="43" t="str">
        <f t="shared" si="7"/>
        <v>奈良県大和高田市</v>
      </c>
      <c r="AD416" s="32">
        <v>10.210000000000001</v>
      </c>
      <c r="AE416" s="34">
        <v>10.17</v>
      </c>
      <c r="AF416" s="51">
        <v>10.14</v>
      </c>
      <c r="AG416" s="1"/>
    </row>
    <row r="417" spans="22:33">
      <c r="V417" s="4" t="s">
        <v>448</v>
      </c>
      <c r="W417" s="4" t="s">
        <v>964</v>
      </c>
      <c r="X417" s="2"/>
      <c r="Y417" s="595" t="s">
        <v>1233</v>
      </c>
      <c r="Z417" s="596">
        <v>0.03</v>
      </c>
      <c r="AA417" s="608" t="s">
        <v>623</v>
      </c>
      <c r="AB417" s="34" t="s">
        <v>1499</v>
      </c>
      <c r="AC417" s="43" t="str">
        <f t="shared" si="7"/>
        <v>奈良県天理市</v>
      </c>
      <c r="AD417" s="32">
        <v>10.210000000000001</v>
      </c>
      <c r="AE417" s="34">
        <v>10.17</v>
      </c>
      <c r="AF417" s="51">
        <v>10.14</v>
      </c>
      <c r="AG417" s="1"/>
    </row>
    <row r="418" spans="22:33">
      <c r="V418" s="4" t="s">
        <v>448</v>
      </c>
      <c r="W418" s="4" t="s">
        <v>966</v>
      </c>
      <c r="X418" s="2"/>
      <c r="Y418" s="595" t="s">
        <v>1233</v>
      </c>
      <c r="Z418" s="596">
        <v>0.03</v>
      </c>
      <c r="AA418" s="608" t="s">
        <v>623</v>
      </c>
      <c r="AB418" s="34" t="s">
        <v>1500</v>
      </c>
      <c r="AC418" s="43" t="str">
        <f t="shared" si="7"/>
        <v>奈良県橿原市</v>
      </c>
      <c r="AD418" s="32">
        <v>10.210000000000001</v>
      </c>
      <c r="AE418" s="34">
        <v>10.17</v>
      </c>
      <c r="AF418" s="51">
        <v>10.14</v>
      </c>
      <c r="AG418" s="1"/>
    </row>
    <row r="419" spans="22:33">
      <c r="V419" s="4" t="s">
        <v>448</v>
      </c>
      <c r="W419" s="4" t="s">
        <v>1501</v>
      </c>
      <c r="X419" s="2"/>
      <c r="Y419" s="595" t="s">
        <v>1233</v>
      </c>
      <c r="Z419" s="596">
        <v>0.03</v>
      </c>
      <c r="AA419" s="608" t="s">
        <v>623</v>
      </c>
      <c r="AB419" s="34" t="s">
        <v>1502</v>
      </c>
      <c r="AC419" s="43" t="str">
        <f t="shared" si="7"/>
        <v>奈良県桜井市</v>
      </c>
      <c r="AD419" s="32">
        <v>10.210000000000001</v>
      </c>
      <c r="AE419" s="34">
        <v>10.17</v>
      </c>
      <c r="AF419" s="51">
        <v>10.14</v>
      </c>
      <c r="AG419" s="1"/>
    </row>
    <row r="420" spans="22:33">
      <c r="V420" s="4" t="s">
        <v>448</v>
      </c>
      <c r="W420" s="4" t="s">
        <v>1236</v>
      </c>
      <c r="X420" s="2"/>
      <c r="Y420" s="595" t="s">
        <v>1233</v>
      </c>
      <c r="Z420" s="596">
        <v>0.03</v>
      </c>
      <c r="AA420" s="608" t="s">
        <v>623</v>
      </c>
      <c r="AB420" s="34" t="s">
        <v>1503</v>
      </c>
      <c r="AC420" s="43" t="str">
        <f t="shared" si="7"/>
        <v>奈良県御所市</v>
      </c>
      <c r="AD420" s="32">
        <v>10.210000000000001</v>
      </c>
      <c r="AE420" s="34">
        <v>10.17</v>
      </c>
      <c r="AF420" s="51">
        <v>10.14</v>
      </c>
      <c r="AG420" s="1"/>
    </row>
    <row r="421" spans="22:33">
      <c r="V421" s="4" t="s">
        <v>448</v>
      </c>
      <c r="W421" s="4" t="s">
        <v>843</v>
      </c>
      <c r="X421" s="2"/>
      <c r="Y421" s="595" t="s">
        <v>1233</v>
      </c>
      <c r="Z421" s="596">
        <v>0.03</v>
      </c>
      <c r="AA421" s="608" t="s">
        <v>623</v>
      </c>
      <c r="AB421" s="34" t="s">
        <v>1504</v>
      </c>
      <c r="AC421" s="43" t="str">
        <f t="shared" si="7"/>
        <v>奈良県香芝市</v>
      </c>
      <c r="AD421" s="32">
        <v>10.210000000000001</v>
      </c>
      <c r="AE421" s="34">
        <v>10.17</v>
      </c>
      <c r="AF421" s="51">
        <v>10.14</v>
      </c>
      <c r="AG421" s="1"/>
    </row>
    <row r="422" spans="22:33">
      <c r="V422" s="4" t="s">
        <v>448</v>
      </c>
      <c r="W422" s="4" t="s">
        <v>1238</v>
      </c>
      <c r="X422" s="2"/>
      <c r="Y422" s="595" t="s">
        <v>1233</v>
      </c>
      <c r="Z422" s="596">
        <v>0.03</v>
      </c>
      <c r="AA422" s="608" t="s">
        <v>623</v>
      </c>
      <c r="AB422" s="34" t="s">
        <v>1505</v>
      </c>
      <c r="AC422" s="43" t="str">
        <f t="shared" si="7"/>
        <v>奈良県葛城市</v>
      </c>
      <c r="AD422" s="32">
        <v>10.210000000000001</v>
      </c>
      <c r="AE422" s="34">
        <v>10.17</v>
      </c>
      <c r="AF422" s="51">
        <v>10.14</v>
      </c>
      <c r="AG422" s="1"/>
    </row>
    <row r="423" spans="22:33">
      <c r="V423" s="4" t="s">
        <v>448</v>
      </c>
      <c r="W423" s="4" t="s">
        <v>1240</v>
      </c>
      <c r="X423" s="2"/>
      <c r="Y423" s="595" t="s">
        <v>1233</v>
      </c>
      <c r="Z423" s="596">
        <v>0.03</v>
      </c>
      <c r="AA423" s="608" t="s">
        <v>623</v>
      </c>
      <c r="AB423" s="34" t="s">
        <v>1506</v>
      </c>
      <c r="AC423" s="43" t="str">
        <f t="shared" si="7"/>
        <v>奈良県宇陀市</v>
      </c>
      <c r="AD423" s="32">
        <v>10.210000000000001</v>
      </c>
      <c r="AE423" s="34">
        <v>10.17</v>
      </c>
      <c r="AF423" s="51">
        <v>10.14</v>
      </c>
      <c r="AG423" s="1"/>
    </row>
    <row r="424" spans="22:33">
      <c r="V424" s="4" t="s">
        <v>448</v>
      </c>
      <c r="W424" s="4" t="s">
        <v>1507</v>
      </c>
      <c r="X424" s="2"/>
      <c r="Y424" s="595" t="s">
        <v>1233</v>
      </c>
      <c r="Z424" s="596">
        <v>0.03</v>
      </c>
      <c r="AA424" s="608" t="s">
        <v>623</v>
      </c>
      <c r="AB424" s="34" t="s">
        <v>1508</v>
      </c>
      <c r="AC424" s="43" t="str">
        <f t="shared" si="7"/>
        <v>奈良県山添村</v>
      </c>
      <c r="AD424" s="32">
        <v>10.210000000000001</v>
      </c>
      <c r="AE424" s="34">
        <v>10.17</v>
      </c>
      <c r="AF424" s="51">
        <v>10.14</v>
      </c>
      <c r="AG424" s="1"/>
    </row>
    <row r="425" spans="22:33">
      <c r="V425" s="4" t="s">
        <v>448</v>
      </c>
      <c r="W425" s="4" t="s">
        <v>1509</v>
      </c>
      <c r="X425" s="2"/>
      <c r="Y425" s="595" t="s">
        <v>1233</v>
      </c>
      <c r="Z425" s="596">
        <v>0.03</v>
      </c>
      <c r="AA425" s="608" t="s">
        <v>623</v>
      </c>
      <c r="AB425" s="34" t="s">
        <v>1510</v>
      </c>
      <c r="AC425" s="43" t="str">
        <f t="shared" si="7"/>
        <v>奈良県平群町</v>
      </c>
      <c r="AD425" s="32">
        <v>10.210000000000001</v>
      </c>
      <c r="AE425" s="34">
        <v>10.17</v>
      </c>
      <c r="AF425" s="51">
        <v>10.14</v>
      </c>
      <c r="AG425" s="1"/>
    </row>
    <row r="426" spans="22:33">
      <c r="V426" s="4" t="s">
        <v>448</v>
      </c>
      <c r="W426" s="4" t="s">
        <v>1511</v>
      </c>
      <c r="X426" s="2"/>
      <c r="Y426" s="595" t="s">
        <v>1233</v>
      </c>
      <c r="Z426" s="596">
        <v>0.03</v>
      </c>
      <c r="AA426" s="608" t="s">
        <v>623</v>
      </c>
      <c r="AB426" s="34" t="s">
        <v>1512</v>
      </c>
      <c r="AC426" s="43" t="str">
        <f t="shared" si="7"/>
        <v>奈良県三郷町</v>
      </c>
      <c r="AD426" s="32">
        <v>10.210000000000001</v>
      </c>
      <c r="AE426" s="34">
        <v>10.17</v>
      </c>
      <c r="AF426" s="51">
        <v>10.14</v>
      </c>
      <c r="AG426" s="1"/>
    </row>
    <row r="427" spans="22:33">
      <c r="V427" s="4" t="s">
        <v>448</v>
      </c>
      <c r="W427" s="4" t="s">
        <v>1242</v>
      </c>
      <c r="X427" s="2"/>
      <c r="Y427" s="595" t="s">
        <v>1233</v>
      </c>
      <c r="Z427" s="596">
        <v>0.03</v>
      </c>
      <c r="AA427" s="608" t="s">
        <v>623</v>
      </c>
      <c r="AB427" s="34" t="s">
        <v>1513</v>
      </c>
      <c r="AC427" s="43" t="str">
        <f t="shared" si="7"/>
        <v>奈良県斑鳩町</v>
      </c>
      <c r="AD427" s="32">
        <v>10.210000000000001</v>
      </c>
      <c r="AE427" s="34">
        <v>10.17</v>
      </c>
      <c r="AF427" s="51">
        <v>10.14</v>
      </c>
      <c r="AG427" s="1"/>
    </row>
    <row r="428" spans="22:33">
      <c r="V428" s="4" t="s">
        <v>448</v>
      </c>
      <c r="W428" s="4" t="s">
        <v>845</v>
      </c>
      <c r="X428" s="2"/>
      <c r="Y428" s="595" t="s">
        <v>1233</v>
      </c>
      <c r="Z428" s="596">
        <v>0.03</v>
      </c>
      <c r="AA428" s="608" t="s">
        <v>623</v>
      </c>
      <c r="AB428" s="34" t="s">
        <v>1514</v>
      </c>
      <c r="AC428" s="43" t="str">
        <f t="shared" si="7"/>
        <v>奈良県安堵町</v>
      </c>
      <c r="AD428" s="32">
        <v>10.210000000000001</v>
      </c>
      <c r="AE428" s="34">
        <v>10.17</v>
      </c>
      <c r="AF428" s="51">
        <v>10.14</v>
      </c>
      <c r="AG428" s="1"/>
    </row>
    <row r="429" spans="22:33">
      <c r="V429" s="4" t="s">
        <v>448</v>
      </c>
      <c r="W429" s="4" t="s">
        <v>790</v>
      </c>
      <c r="X429" s="2"/>
      <c r="Y429" s="595" t="s">
        <v>1233</v>
      </c>
      <c r="Z429" s="596">
        <v>0.03</v>
      </c>
      <c r="AA429" s="608" t="s">
        <v>623</v>
      </c>
      <c r="AB429" s="34" t="s">
        <v>1515</v>
      </c>
      <c r="AC429" s="43" t="str">
        <f t="shared" si="7"/>
        <v>奈良県川西町</v>
      </c>
      <c r="AD429" s="32">
        <v>10.210000000000001</v>
      </c>
      <c r="AE429" s="34">
        <v>10.17</v>
      </c>
      <c r="AF429" s="51">
        <v>10.14</v>
      </c>
      <c r="AG429" s="1"/>
    </row>
    <row r="430" spans="22:33">
      <c r="V430" s="4" t="s">
        <v>448</v>
      </c>
      <c r="W430" s="4" t="s">
        <v>847</v>
      </c>
      <c r="X430" s="2"/>
      <c r="Y430" s="595" t="s">
        <v>1233</v>
      </c>
      <c r="Z430" s="596">
        <v>0.03</v>
      </c>
      <c r="AA430" s="608" t="s">
        <v>623</v>
      </c>
      <c r="AB430" s="34" t="s">
        <v>1516</v>
      </c>
      <c r="AC430" s="43" t="str">
        <f t="shared" si="7"/>
        <v>奈良県三宅町</v>
      </c>
      <c r="AD430" s="32">
        <v>10.210000000000001</v>
      </c>
      <c r="AE430" s="34">
        <v>10.17</v>
      </c>
      <c r="AF430" s="51">
        <v>10.14</v>
      </c>
      <c r="AG430" s="1"/>
    </row>
    <row r="431" spans="22:33">
      <c r="V431" s="4" t="s">
        <v>448</v>
      </c>
      <c r="W431" s="4" t="s">
        <v>1244</v>
      </c>
      <c r="X431" s="2"/>
      <c r="Y431" s="595" t="s">
        <v>1233</v>
      </c>
      <c r="Z431" s="596">
        <v>0.03</v>
      </c>
      <c r="AA431" s="608" t="s">
        <v>623</v>
      </c>
      <c r="AB431" s="34" t="s">
        <v>1517</v>
      </c>
      <c r="AC431" s="43" t="str">
        <f t="shared" si="7"/>
        <v>奈良県田原本町</v>
      </c>
      <c r="AD431" s="32">
        <v>10.210000000000001</v>
      </c>
      <c r="AE431" s="34">
        <v>10.17</v>
      </c>
      <c r="AF431" s="51">
        <v>10.14</v>
      </c>
      <c r="AG431" s="1"/>
    </row>
    <row r="432" spans="22:33">
      <c r="V432" s="4" t="s">
        <v>448</v>
      </c>
      <c r="W432" s="4" t="s">
        <v>1518</v>
      </c>
      <c r="X432" s="2"/>
      <c r="Y432" s="595" t="s">
        <v>1233</v>
      </c>
      <c r="Z432" s="596">
        <v>0.03</v>
      </c>
      <c r="AA432" s="608" t="s">
        <v>623</v>
      </c>
      <c r="AB432" s="34" t="s">
        <v>1519</v>
      </c>
      <c r="AC432" s="43" t="str">
        <f t="shared" si="7"/>
        <v>奈良県曽爾村</v>
      </c>
      <c r="AD432" s="32">
        <v>10.210000000000001</v>
      </c>
      <c r="AE432" s="34">
        <v>10.17</v>
      </c>
      <c r="AF432" s="51">
        <v>10.14</v>
      </c>
      <c r="AG432" s="1"/>
    </row>
    <row r="433" spans="22:33">
      <c r="V433" s="4" t="s">
        <v>448</v>
      </c>
      <c r="W433" s="4" t="s">
        <v>1520</v>
      </c>
      <c r="X433" s="2"/>
      <c r="Y433" s="595" t="s">
        <v>1233</v>
      </c>
      <c r="Z433" s="596">
        <v>0.03</v>
      </c>
      <c r="AA433" s="608" t="s">
        <v>623</v>
      </c>
      <c r="AB433" s="34" t="s">
        <v>1521</v>
      </c>
      <c r="AC433" s="43" t="str">
        <f t="shared" si="7"/>
        <v>奈良県明日香村</v>
      </c>
      <c r="AD433" s="32">
        <v>10.210000000000001</v>
      </c>
      <c r="AE433" s="34">
        <v>10.17</v>
      </c>
      <c r="AF433" s="51">
        <v>10.14</v>
      </c>
      <c r="AG433" s="1"/>
    </row>
    <row r="434" spans="22:33">
      <c r="V434" s="4" t="s">
        <v>448</v>
      </c>
      <c r="W434" s="4" t="s">
        <v>849</v>
      </c>
      <c r="X434" s="2"/>
      <c r="Y434" s="595" t="s">
        <v>1233</v>
      </c>
      <c r="Z434" s="596">
        <v>0.03</v>
      </c>
      <c r="AA434" s="608" t="s">
        <v>623</v>
      </c>
      <c r="AB434" s="34" t="s">
        <v>1522</v>
      </c>
      <c r="AC434" s="43" t="str">
        <f t="shared" si="7"/>
        <v>奈良県上牧町</v>
      </c>
      <c r="AD434" s="32">
        <v>10.210000000000001</v>
      </c>
      <c r="AE434" s="34">
        <v>10.17</v>
      </c>
      <c r="AF434" s="51">
        <v>10.14</v>
      </c>
      <c r="AG434" s="1"/>
    </row>
    <row r="435" spans="22:33">
      <c r="V435" s="4" t="s">
        <v>448</v>
      </c>
      <c r="W435" s="4" t="s">
        <v>1523</v>
      </c>
      <c r="X435" s="2"/>
      <c r="Y435" s="595" t="s">
        <v>1233</v>
      </c>
      <c r="Z435" s="596">
        <v>0.03</v>
      </c>
      <c r="AA435" s="608" t="s">
        <v>623</v>
      </c>
      <c r="AB435" s="34" t="s">
        <v>1524</v>
      </c>
      <c r="AC435" s="43" t="str">
        <f t="shared" si="7"/>
        <v>奈良県王寺町</v>
      </c>
      <c r="AD435" s="32">
        <v>10.210000000000001</v>
      </c>
      <c r="AE435" s="34">
        <v>10.17</v>
      </c>
      <c r="AF435" s="51">
        <v>10.14</v>
      </c>
      <c r="AG435" s="1"/>
    </row>
    <row r="436" spans="22:33">
      <c r="V436" s="4" t="s">
        <v>448</v>
      </c>
      <c r="W436" s="4" t="s">
        <v>1246</v>
      </c>
      <c r="X436" s="2"/>
      <c r="Y436" s="595" t="s">
        <v>1233</v>
      </c>
      <c r="Z436" s="596">
        <v>0.03</v>
      </c>
      <c r="AA436" s="608" t="s">
        <v>623</v>
      </c>
      <c r="AB436" s="34" t="s">
        <v>1525</v>
      </c>
      <c r="AC436" s="43" t="str">
        <f t="shared" si="7"/>
        <v>奈良県広陵町</v>
      </c>
      <c r="AD436" s="32">
        <v>10.210000000000001</v>
      </c>
      <c r="AE436" s="34">
        <v>10.17</v>
      </c>
      <c r="AF436" s="51">
        <v>10.14</v>
      </c>
      <c r="AG436" s="1"/>
    </row>
    <row r="437" spans="22:33">
      <c r="V437" s="4" t="s">
        <v>448</v>
      </c>
      <c r="W437" s="4" t="s">
        <v>1248</v>
      </c>
      <c r="X437" s="2"/>
      <c r="Y437" s="595" t="s">
        <v>1233</v>
      </c>
      <c r="Z437" s="596">
        <v>0.03</v>
      </c>
      <c r="AA437" s="608" t="s">
        <v>623</v>
      </c>
      <c r="AB437" s="34" t="s">
        <v>1526</v>
      </c>
      <c r="AC437" s="43" t="str">
        <f t="shared" si="7"/>
        <v>奈良県河合町</v>
      </c>
      <c r="AD437" s="32">
        <v>10.210000000000001</v>
      </c>
      <c r="AE437" s="34">
        <v>10.17</v>
      </c>
      <c r="AF437" s="51">
        <v>10.14</v>
      </c>
      <c r="AG437" s="1"/>
    </row>
    <row r="438" spans="22:33">
      <c r="V438" s="4" t="s">
        <v>448</v>
      </c>
      <c r="W438" s="4" t="s">
        <v>1250</v>
      </c>
      <c r="X438" s="2"/>
      <c r="Y438" s="595" t="s">
        <v>1233</v>
      </c>
      <c r="Z438" s="596">
        <v>0.03</v>
      </c>
      <c r="AA438" s="608" t="s">
        <v>661</v>
      </c>
      <c r="AB438" s="34" t="s">
        <v>1527</v>
      </c>
      <c r="AC438" s="43" t="str">
        <f t="shared" si="7"/>
        <v>岡山県岡山市</v>
      </c>
      <c r="AD438" s="32">
        <v>10.210000000000001</v>
      </c>
      <c r="AE438" s="34">
        <v>10.17</v>
      </c>
      <c r="AF438" s="51">
        <v>10.14</v>
      </c>
      <c r="AG438" s="1"/>
    </row>
    <row r="439" spans="22:33">
      <c r="V439" s="4" t="s">
        <v>448</v>
      </c>
      <c r="W439" s="4" t="s">
        <v>1252</v>
      </c>
      <c r="X439" s="2"/>
      <c r="Y439" s="595" t="s">
        <v>1233</v>
      </c>
      <c r="Z439" s="596">
        <v>0.03</v>
      </c>
      <c r="AA439" s="608" t="s">
        <v>668</v>
      </c>
      <c r="AB439" s="34" t="s">
        <v>1528</v>
      </c>
      <c r="AC439" s="43" t="str">
        <f t="shared" si="7"/>
        <v>広島県東広島市</v>
      </c>
      <c r="AD439" s="32">
        <v>10.210000000000001</v>
      </c>
      <c r="AE439" s="34">
        <v>10.17</v>
      </c>
      <c r="AF439" s="51">
        <v>10.14</v>
      </c>
      <c r="AG439" s="1"/>
    </row>
    <row r="440" spans="22:33">
      <c r="V440" s="4" t="s">
        <v>448</v>
      </c>
      <c r="W440" s="4" t="s">
        <v>1529</v>
      </c>
      <c r="X440" s="2"/>
      <c r="Y440" s="595" t="s">
        <v>1233</v>
      </c>
      <c r="Z440" s="596">
        <v>0.03</v>
      </c>
      <c r="AA440" s="608" t="s">
        <v>668</v>
      </c>
      <c r="AB440" s="34" t="s">
        <v>1530</v>
      </c>
      <c r="AC440" s="43" t="str">
        <f t="shared" si="7"/>
        <v>広島県廿日市市</v>
      </c>
      <c r="AD440" s="32">
        <v>10.210000000000001</v>
      </c>
      <c r="AE440" s="34">
        <v>10.17</v>
      </c>
      <c r="AF440" s="51">
        <v>10.14</v>
      </c>
      <c r="AG440" s="1"/>
    </row>
    <row r="441" spans="22:33">
      <c r="V441" s="4" t="s">
        <v>448</v>
      </c>
      <c r="W441" s="4" t="s">
        <v>1531</v>
      </c>
      <c r="X441" s="2"/>
      <c r="Y441" s="595" t="s">
        <v>1233</v>
      </c>
      <c r="Z441" s="596">
        <v>0.03</v>
      </c>
      <c r="AA441" s="608" t="s">
        <v>668</v>
      </c>
      <c r="AB441" s="34" t="s">
        <v>1532</v>
      </c>
      <c r="AC441" s="43" t="str">
        <f t="shared" si="7"/>
        <v>広島県海田町</v>
      </c>
      <c r="AD441" s="32">
        <v>10.210000000000001</v>
      </c>
      <c r="AE441" s="34">
        <v>10.17</v>
      </c>
      <c r="AF441" s="51">
        <v>10.14</v>
      </c>
      <c r="AG441" s="1"/>
    </row>
    <row r="442" spans="22:33">
      <c r="V442" s="4" t="s">
        <v>448</v>
      </c>
      <c r="W442" s="4" t="s">
        <v>1533</v>
      </c>
      <c r="X442" s="2"/>
      <c r="Y442" s="595" t="s">
        <v>1233</v>
      </c>
      <c r="Z442" s="596">
        <v>0.03</v>
      </c>
      <c r="AA442" s="608" t="s">
        <v>668</v>
      </c>
      <c r="AB442" s="34" t="s">
        <v>1534</v>
      </c>
      <c r="AC442" s="43" t="str">
        <f t="shared" si="7"/>
        <v>広島県熊野町</v>
      </c>
      <c r="AD442" s="32">
        <v>10.210000000000001</v>
      </c>
      <c r="AE442" s="34">
        <v>10.17</v>
      </c>
      <c r="AF442" s="51">
        <v>10.14</v>
      </c>
      <c r="AG442" s="1"/>
    </row>
    <row r="443" spans="22:33">
      <c r="V443" s="4" t="s">
        <v>448</v>
      </c>
      <c r="W443" s="4" t="s">
        <v>1535</v>
      </c>
      <c r="X443" s="2"/>
      <c r="Y443" s="595" t="s">
        <v>1233</v>
      </c>
      <c r="Z443" s="596">
        <v>0.03</v>
      </c>
      <c r="AA443" s="608" t="s">
        <v>668</v>
      </c>
      <c r="AB443" s="34" t="s">
        <v>1536</v>
      </c>
      <c r="AC443" s="43" t="str">
        <f t="shared" si="7"/>
        <v>広島県坂町</v>
      </c>
      <c r="AD443" s="32">
        <v>10.210000000000001</v>
      </c>
      <c r="AE443" s="34">
        <v>10.17</v>
      </c>
      <c r="AF443" s="51">
        <v>10.14</v>
      </c>
      <c r="AG443" s="1"/>
    </row>
    <row r="444" spans="22:33">
      <c r="V444" s="4" t="s">
        <v>448</v>
      </c>
      <c r="W444" s="4" t="s">
        <v>1537</v>
      </c>
      <c r="X444" s="2"/>
      <c r="Y444" s="595" t="s">
        <v>1233</v>
      </c>
      <c r="Z444" s="596">
        <v>0.03</v>
      </c>
      <c r="AA444" s="608" t="s">
        <v>673</v>
      </c>
      <c r="AB444" s="34" t="s">
        <v>1538</v>
      </c>
      <c r="AC444" s="43" t="str">
        <f t="shared" si="7"/>
        <v>山口県周南市</v>
      </c>
      <c r="AD444" s="32">
        <v>10.210000000000001</v>
      </c>
      <c r="AE444" s="34">
        <v>10.17</v>
      </c>
      <c r="AF444" s="51">
        <v>10.14</v>
      </c>
      <c r="AG444" s="1"/>
    </row>
    <row r="445" spans="22:33">
      <c r="V445" s="4" t="s">
        <v>448</v>
      </c>
      <c r="W445" s="4" t="s">
        <v>1254</v>
      </c>
      <c r="X445" s="2"/>
      <c r="Y445" s="595" t="s">
        <v>1233</v>
      </c>
      <c r="Z445" s="596">
        <v>0.03</v>
      </c>
      <c r="AA445" s="608" t="s">
        <v>678</v>
      </c>
      <c r="AB445" s="34" t="s">
        <v>1539</v>
      </c>
      <c r="AC445" s="43" t="str">
        <f t="shared" si="7"/>
        <v>徳島県徳島市</v>
      </c>
      <c r="AD445" s="32">
        <v>10.210000000000001</v>
      </c>
      <c r="AE445" s="34">
        <v>10.17</v>
      </c>
      <c r="AF445" s="51">
        <v>10.14</v>
      </c>
      <c r="AG445" s="1"/>
    </row>
    <row r="446" spans="22:33">
      <c r="V446" s="4" t="s">
        <v>448</v>
      </c>
      <c r="W446" s="4" t="s">
        <v>1540</v>
      </c>
      <c r="X446" s="2"/>
      <c r="Y446" s="595" t="s">
        <v>1233</v>
      </c>
      <c r="Z446" s="596">
        <v>0.03</v>
      </c>
      <c r="AA446" s="608" t="s">
        <v>686</v>
      </c>
      <c r="AB446" s="34" t="s">
        <v>1541</v>
      </c>
      <c r="AC446" s="43" t="str">
        <f t="shared" si="7"/>
        <v>香川県高松市</v>
      </c>
      <c r="AD446" s="32">
        <v>10.210000000000001</v>
      </c>
      <c r="AE446" s="34">
        <v>10.17</v>
      </c>
      <c r="AF446" s="51">
        <v>10.14</v>
      </c>
      <c r="AG446" s="1"/>
    </row>
    <row r="447" spans="22:33">
      <c r="V447" s="4" t="s">
        <v>448</v>
      </c>
      <c r="W447" s="4" t="s">
        <v>1542</v>
      </c>
      <c r="X447" s="2"/>
      <c r="Y447" s="595" t="s">
        <v>1233</v>
      </c>
      <c r="Z447" s="596">
        <v>0.03</v>
      </c>
      <c r="AA447" s="608" t="s">
        <v>709</v>
      </c>
      <c r="AB447" s="34" t="s">
        <v>1543</v>
      </c>
      <c r="AC447" s="43" t="str">
        <f t="shared" si="7"/>
        <v>福岡県北九州市</v>
      </c>
      <c r="AD447" s="32">
        <v>10.210000000000001</v>
      </c>
      <c r="AE447" s="34">
        <v>10.17</v>
      </c>
      <c r="AF447" s="51">
        <v>10.14</v>
      </c>
      <c r="AG447" s="1"/>
    </row>
    <row r="448" spans="22:33">
      <c r="V448" s="4" t="s">
        <v>448</v>
      </c>
      <c r="W448" s="4" t="s">
        <v>1256</v>
      </c>
      <c r="X448" s="2"/>
      <c r="Y448" s="595" t="s">
        <v>1233</v>
      </c>
      <c r="Z448" s="596">
        <v>0.03</v>
      </c>
      <c r="AA448" s="608" t="s">
        <v>709</v>
      </c>
      <c r="AB448" s="34" t="s">
        <v>1544</v>
      </c>
      <c r="AC448" s="43" t="str">
        <f t="shared" si="7"/>
        <v>福岡県飯塚市</v>
      </c>
      <c r="AD448" s="32">
        <v>10.210000000000001</v>
      </c>
      <c r="AE448" s="34">
        <v>10.17</v>
      </c>
      <c r="AF448" s="51">
        <v>10.14</v>
      </c>
      <c r="AG448" s="1"/>
    </row>
    <row r="449" spans="22:33">
      <c r="V449" s="4" t="s">
        <v>448</v>
      </c>
      <c r="W449" s="4" t="s">
        <v>1545</v>
      </c>
      <c r="X449" s="2"/>
      <c r="Y449" s="595" t="s">
        <v>1233</v>
      </c>
      <c r="Z449" s="596">
        <v>0.03</v>
      </c>
      <c r="AA449" s="608" t="s">
        <v>709</v>
      </c>
      <c r="AB449" s="34" t="s">
        <v>1546</v>
      </c>
      <c r="AC449" s="43" t="str">
        <f t="shared" si="7"/>
        <v>福岡県筑紫野市</v>
      </c>
      <c r="AD449" s="32">
        <v>10.210000000000001</v>
      </c>
      <c r="AE449" s="34">
        <v>10.17</v>
      </c>
      <c r="AF449" s="51">
        <v>10.14</v>
      </c>
      <c r="AG449" s="1"/>
    </row>
    <row r="450" spans="22:33">
      <c r="V450" s="4" t="s">
        <v>448</v>
      </c>
      <c r="W450" s="4" t="s">
        <v>1547</v>
      </c>
      <c r="X450" s="2"/>
      <c r="Y450" s="595" t="s">
        <v>1233</v>
      </c>
      <c r="Z450" s="596">
        <v>0.03</v>
      </c>
      <c r="AA450" s="608" t="s">
        <v>709</v>
      </c>
      <c r="AB450" s="34" t="s">
        <v>1548</v>
      </c>
      <c r="AC450" s="43" t="str">
        <f t="shared" si="7"/>
        <v>福岡県古賀市</v>
      </c>
      <c r="AD450" s="32">
        <v>10.210000000000001</v>
      </c>
      <c r="AE450" s="34">
        <v>10.17</v>
      </c>
      <c r="AF450" s="51">
        <v>10.14</v>
      </c>
      <c r="AG450" s="1"/>
    </row>
    <row r="451" spans="22:33" ht="14.25" thickBot="1">
      <c r="V451" s="4" t="s">
        <v>448</v>
      </c>
      <c r="W451" s="4" t="s">
        <v>1549</v>
      </c>
      <c r="X451" s="2"/>
      <c r="Y451" s="597" t="s">
        <v>1233</v>
      </c>
      <c r="Z451" s="598">
        <v>0.03</v>
      </c>
      <c r="AA451" s="609" t="s">
        <v>719</v>
      </c>
      <c r="AB451" s="37" t="s">
        <v>1550</v>
      </c>
      <c r="AC451" s="57" t="str">
        <f t="shared" si="7"/>
        <v>長崎県長崎市</v>
      </c>
      <c r="AD451" s="36">
        <v>10.210000000000001</v>
      </c>
      <c r="AE451" s="37">
        <v>10.17</v>
      </c>
      <c r="AF451" s="69">
        <v>10.14</v>
      </c>
      <c r="AG451" s="1"/>
    </row>
    <row r="452" spans="22:33" ht="14.25" thickBot="1">
      <c r="V452" s="4" t="s">
        <v>448</v>
      </c>
      <c r="W452" s="4" t="s">
        <v>1551</v>
      </c>
      <c r="X452" s="2"/>
      <c r="Y452" s="590" t="s">
        <v>1552</v>
      </c>
      <c r="Z452" s="610">
        <v>0</v>
      </c>
      <c r="AA452" s="611"/>
      <c r="AB452" s="612"/>
      <c r="AC452" s="42" t="str">
        <f t="shared" ref="AC452" si="8">AA452&amp;AB452</f>
        <v/>
      </c>
      <c r="AD452" s="590" t="str">
        <f t="shared" ref="AD452" si="9">AA452&amp;AB452</f>
        <v/>
      </c>
      <c r="AE452" s="613"/>
      <c r="AF452" s="614"/>
      <c r="AG452" s="1"/>
    </row>
    <row r="453" spans="22:33">
      <c r="V453" s="4" t="s">
        <v>448</v>
      </c>
      <c r="W453" s="4" t="s">
        <v>1258</v>
      </c>
      <c r="X453" s="2"/>
      <c r="Z453" s="589"/>
      <c r="AA453" s="589"/>
      <c r="AB453" s="589"/>
      <c r="AD453" s="589"/>
      <c r="AE453" s="588"/>
      <c r="AF453" s="588"/>
      <c r="AG453" s="1"/>
    </row>
    <row r="454" spans="22:33">
      <c r="V454" s="4" t="s">
        <v>448</v>
      </c>
      <c r="W454" s="4" t="s">
        <v>1260</v>
      </c>
      <c r="X454" s="2"/>
      <c r="Z454" s="589"/>
      <c r="AA454" s="589"/>
      <c r="AB454" s="589"/>
      <c r="AD454" s="589"/>
      <c r="AE454" s="588"/>
      <c r="AF454" s="588"/>
      <c r="AG454" s="1"/>
    </row>
    <row r="455" spans="22:33">
      <c r="V455" s="4" t="s">
        <v>448</v>
      </c>
      <c r="W455" s="4" t="s">
        <v>1262</v>
      </c>
      <c r="X455" s="2"/>
      <c r="Z455" s="589"/>
      <c r="AA455" s="589"/>
      <c r="AB455" s="589"/>
      <c r="AD455" s="589"/>
      <c r="AE455" s="588"/>
      <c r="AF455" s="588"/>
      <c r="AG455" s="1"/>
    </row>
    <row r="456" spans="22:33">
      <c r="V456" s="4" t="s">
        <v>448</v>
      </c>
      <c r="W456" s="4" t="s">
        <v>1264</v>
      </c>
      <c r="X456" s="2"/>
      <c r="Z456" s="589"/>
      <c r="AA456" s="589"/>
      <c r="AB456" s="589"/>
      <c r="AD456" s="589"/>
      <c r="AE456" s="588"/>
      <c r="AF456" s="588"/>
      <c r="AG456" s="1"/>
    </row>
    <row r="457" spans="22:33">
      <c r="V457" s="4" t="s">
        <v>448</v>
      </c>
      <c r="W457" s="4" t="s">
        <v>1266</v>
      </c>
      <c r="X457" s="2"/>
      <c r="Z457" s="589"/>
      <c r="AA457" s="589"/>
      <c r="AB457" s="589"/>
      <c r="AD457" s="589"/>
      <c r="AE457" s="588"/>
      <c r="AF457" s="588"/>
      <c r="AG457" s="1"/>
    </row>
    <row r="458" spans="22:33">
      <c r="V458" s="4" t="s">
        <v>448</v>
      </c>
      <c r="W458" s="4" t="s">
        <v>968</v>
      </c>
      <c r="X458" s="2"/>
      <c r="Z458" s="589"/>
      <c r="AA458" s="589"/>
      <c r="AB458" s="589"/>
      <c r="AD458" s="589"/>
      <c r="AE458" s="588"/>
      <c r="AF458" s="588"/>
      <c r="AG458" s="1"/>
    </row>
    <row r="459" spans="22:33">
      <c r="V459" s="4" t="s">
        <v>456</v>
      </c>
      <c r="W459" s="4" t="s">
        <v>970</v>
      </c>
      <c r="X459" s="2"/>
      <c r="Z459" s="589"/>
      <c r="AA459" s="589"/>
      <c r="AB459" s="589"/>
      <c r="AD459" s="589"/>
      <c r="AE459" s="588"/>
      <c r="AF459" s="588"/>
      <c r="AG459" s="1"/>
    </row>
    <row r="460" spans="22:33">
      <c r="V460" s="4" t="s">
        <v>456</v>
      </c>
      <c r="W460" s="4" t="s">
        <v>1553</v>
      </c>
      <c r="X460" s="2"/>
      <c r="Z460" s="589"/>
      <c r="AA460" s="589"/>
      <c r="AB460" s="589"/>
      <c r="AD460" s="589"/>
      <c r="AE460" s="588"/>
      <c r="AF460" s="588"/>
      <c r="AG460" s="1"/>
    </row>
    <row r="461" spans="22:33">
      <c r="V461" s="4" t="s">
        <v>456</v>
      </c>
      <c r="W461" s="4" t="s">
        <v>1268</v>
      </c>
      <c r="X461" s="2"/>
      <c r="Z461" s="589"/>
      <c r="AA461" s="589"/>
      <c r="AB461" s="589"/>
      <c r="AD461" s="589"/>
      <c r="AE461" s="588"/>
      <c r="AF461" s="588"/>
      <c r="AG461" s="1"/>
    </row>
    <row r="462" spans="22:33">
      <c r="V462" s="4" t="s">
        <v>456</v>
      </c>
      <c r="W462" s="4" t="s">
        <v>1554</v>
      </c>
      <c r="X462" s="2"/>
      <c r="Z462" s="589"/>
      <c r="AA462" s="589"/>
      <c r="AB462" s="589"/>
      <c r="AD462" s="589"/>
      <c r="AE462" s="588"/>
      <c r="AF462" s="588"/>
      <c r="AG462" s="1"/>
    </row>
    <row r="463" spans="22:33">
      <c r="V463" s="4" t="s">
        <v>456</v>
      </c>
      <c r="W463" s="4" t="s">
        <v>1270</v>
      </c>
      <c r="X463" s="2"/>
      <c r="Z463" s="589"/>
      <c r="AA463" s="589"/>
      <c r="AB463" s="589"/>
      <c r="AD463" s="589"/>
      <c r="AE463" s="588"/>
      <c r="AF463" s="588"/>
      <c r="AG463" s="1"/>
    </row>
    <row r="464" spans="22:33">
      <c r="V464" s="4" t="s">
        <v>456</v>
      </c>
      <c r="W464" s="4" t="s">
        <v>1272</v>
      </c>
      <c r="X464" s="2"/>
      <c r="Z464" s="589"/>
      <c r="AA464" s="589"/>
      <c r="AB464" s="589"/>
      <c r="AD464" s="589"/>
      <c r="AE464" s="588"/>
      <c r="AF464" s="588"/>
      <c r="AG464" s="1"/>
    </row>
    <row r="465" spans="22:33">
      <c r="V465" s="4" t="s">
        <v>456</v>
      </c>
      <c r="W465" s="4" t="s">
        <v>1274</v>
      </c>
      <c r="AG465" s="1"/>
    </row>
    <row r="466" spans="22:33">
      <c r="V466" s="4" t="s">
        <v>456</v>
      </c>
      <c r="W466" s="4" t="s">
        <v>1276</v>
      </c>
      <c r="AG466" s="1"/>
    </row>
    <row r="467" spans="22:33">
      <c r="V467" s="4" t="s">
        <v>456</v>
      </c>
      <c r="W467" s="4" t="s">
        <v>1278</v>
      </c>
      <c r="AG467" s="1"/>
    </row>
    <row r="468" spans="22:33">
      <c r="V468" s="4" t="s">
        <v>456</v>
      </c>
      <c r="W468" s="4" t="s">
        <v>1555</v>
      </c>
    </row>
    <row r="469" spans="22:33">
      <c r="V469" s="4" t="s">
        <v>456</v>
      </c>
      <c r="W469" s="4" t="s">
        <v>1556</v>
      </c>
    </row>
    <row r="470" spans="22:33">
      <c r="V470" s="4" t="s">
        <v>456</v>
      </c>
      <c r="W470" s="4" t="s">
        <v>1280</v>
      </c>
    </row>
    <row r="471" spans="22:33">
      <c r="V471" s="4" t="s">
        <v>456</v>
      </c>
      <c r="W471" s="4" t="s">
        <v>1557</v>
      </c>
    </row>
    <row r="472" spans="22:33">
      <c r="V472" s="4" t="s">
        <v>456</v>
      </c>
      <c r="W472" s="4" t="s">
        <v>1282</v>
      </c>
    </row>
    <row r="473" spans="22:33">
      <c r="V473" s="4" t="s">
        <v>456</v>
      </c>
      <c r="W473" s="4" t="s">
        <v>1558</v>
      </c>
    </row>
    <row r="474" spans="22:33">
      <c r="V474" s="4" t="s">
        <v>456</v>
      </c>
      <c r="W474" s="4" t="s">
        <v>1559</v>
      </c>
    </row>
    <row r="475" spans="22:33">
      <c r="V475" s="4" t="s">
        <v>456</v>
      </c>
      <c r="W475" s="4" t="s">
        <v>1560</v>
      </c>
    </row>
    <row r="476" spans="22:33">
      <c r="V476" s="4" t="s">
        <v>456</v>
      </c>
      <c r="W476" s="4" t="s">
        <v>1561</v>
      </c>
    </row>
    <row r="477" spans="22:33">
      <c r="V477" s="4" t="s">
        <v>456</v>
      </c>
      <c r="W477" s="4" t="s">
        <v>1562</v>
      </c>
    </row>
    <row r="478" spans="22:33">
      <c r="V478" s="4" t="s">
        <v>456</v>
      </c>
      <c r="W478" s="4" t="s">
        <v>1284</v>
      </c>
    </row>
    <row r="479" spans="22:33">
      <c r="V479" s="4" t="s">
        <v>456</v>
      </c>
      <c r="W479" s="4" t="s">
        <v>972</v>
      </c>
    </row>
    <row r="480" spans="22:33">
      <c r="V480" s="4" t="s">
        <v>456</v>
      </c>
      <c r="W480" s="4" t="s">
        <v>1563</v>
      </c>
    </row>
    <row r="481" spans="22:23">
      <c r="V481" s="4" t="s">
        <v>456</v>
      </c>
      <c r="W481" s="4" t="s">
        <v>1564</v>
      </c>
    </row>
    <row r="482" spans="22:23">
      <c r="V482" s="4" t="s">
        <v>456</v>
      </c>
      <c r="W482" s="4" t="s">
        <v>1565</v>
      </c>
    </row>
    <row r="483" spans="22:23">
      <c r="V483" s="4" t="s">
        <v>456</v>
      </c>
      <c r="W483" s="4" t="s">
        <v>1566</v>
      </c>
    </row>
    <row r="484" spans="22:23">
      <c r="V484" s="4" t="s">
        <v>463</v>
      </c>
      <c r="W484" s="4" t="s">
        <v>1286</v>
      </c>
    </row>
    <row r="485" spans="22:23">
      <c r="V485" s="4" t="s">
        <v>463</v>
      </c>
      <c r="W485" s="4" t="s">
        <v>974</v>
      </c>
    </row>
    <row r="486" spans="22:23">
      <c r="V486" s="4" t="s">
        <v>463</v>
      </c>
      <c r="W486" s="4" t="s">
        <v>1567</v>
      </c>
    </row>
    <row r="487" spans="22:23">
      <c r="V487" s="4" t="s">
        <v>463</v>
      </c>
      <c r="W487" s="4" t="s">
        <v>1288</v>
      </c>
    </row>
    <row r="488" spans="22:23">
      <c r="V488" s="4" t="s">
        <v>463</v>
      </c>
      <c r="W488" s="4" t="s">
        <v>1290</v>
      </c>
    </row>
    <row r="489" spans="22:23">
      <c r="V489" s="4" t="s">
        <v>463</v>
      </c>
      <c r="W489" s="4" t="s">
        <v>1568</v>
      </c>
    </row>
    <row r="490" spans="22:23">
      <c r="V490" s="4" t="s">
        <v>463</v>
      </c>
      <c r="W490" s="4" t="s">
        <v>1569</v>
      </c>
    </row>
    <row r="491" spans="22:23">
      <c r="V491" s="4" t="s">
        <v>463</v>
      </c>
      <c r="W491" s="4" t="s">
        <v>1292</v>
      </c>
    </row>
    <row r="492" spans="22:23">
      <c r="V492" s="4" t="s">
        <v>463</v>
      </c>
      <c r="W492" s="4" t="s">
        <v>1570</v>
      </c>
    </row>
    <row r="493" spans="22:23">
      <c r="V493" s="4" t="s">
        <v>463</v>
      </c>
      <c r="W493" s="4" t="s">
        <v>1571</v>
      </c>
    </row>
    <row r="494" spans="22:23">
      <c r="V494" s="4" t="s">
        <v>463</v>
      </c>
      <c r="W494" s="4" t="s">
        <v>1572</v>
      </c>
    </row>
    <row r="495" spans="22:23">
      <c r="V495" s="4" t="s">
        <v>463</v>
      </c>
      <c r="W495" s="4" t="s">
        <v>1573</v>
      </c>
    </row>
    <row r="496" spans="22:23">
      <c r="V496" s="4" t="s">
        <v>463</v>
      </c>
      <c r="W496" s="4" t="s">
        <v>1574</v>
      </c>
    </row>
    <row r="497" spans="22:23">
      <c r="V497" s="4" t="s">
        <v>463</v>
      </c>
      <c r="W497" s="4" t="s">
        <v>1575</v>
      </c>
    </row>
    <row r="498" spans="22:23">
      <c r="V498" s="4" t="s">
        <v>463</v>
      </c>
      <c r="W498" s="4" t="s">
        <v>1576</v>
      </c>
    </row>
    <row r="499" spans="22:23">
      <c r="V499" s="4" t="s">
        <v>463</v>
      </c>
      <c r="W499" s="4" t="s">
        <v>1577</v>
      </c>
    </row>
    <row r="500" spans="22:23">
      <c r="V500" s="4" t="s">
        <v>463</v>
      </c>
      <c r="W500" s="4" t="s">
        <v>1578</v>
      </c>
    </row>
    <row r="501" spans="22:23">
      <c r="V501" s="4" t="s">
        <v>463</v>
      </c>
      <c r="W501" s="4" t="s">
        <v>1579</v>
      </c>
    </row>
    <row r="502" spans="22:23">
      <c r="V502" s="4" t="s">
        <v>463</v>
      </c>
      <c r="W502" s="4" t="s">
        <v>1580</v>
      </c>
    </row>
    <row r="503" spans="22:23">
      <c r="V503" s="4" t="s">
        <v>463</v>
      </c>
      <c r="W503" s="4" t="s">
        <v>1581</v>
      </c>
    </row>
    <row r="504" spans="22:23">
      <c r="V504" s="4" t="s">
        <v>463</v>
      </c>
      <c r="W504" s="4" t="s">
        <v>1582</v>
      </c>
    </row>
    <row r="505" spans="22:23">
      <c r="V505" s="4" t="s">
        <v>463</v>
      </c>
      <c r="W505" s="4" t="s">
        <v>1583</v>
      </c>
    </row>
    <row r="506" spans="22:23">
      <c r="V506" s="4" t="s">
        <v>463</v>
      </c>
      <c r="W506" s="4" t="s">
        <v>1584</v>
      </c>
    </row>
    <row r="507" spans="22:23">
      <c r="V507" s="4" t="s">
        <v>463</v>
      </c>
      <c r="W507" s="4" t="s">
        <v>1585</v>
      </c>
    </row>
    <row r="508" spans="22:23">
      <c r="V508" s="4" t="s">
        <v>463</v>
      </c>
      <c r="W508" s="4" t="s">
        <v>1586</v>
      </c>
    </row>
    <row r="509" spans="22:23">
      <c r="V509" s="4" t="s">
        <v>463</v>
      </c>
      <c r="W509" s="4" t="s">
        <v>1587</v>
      </c>
    </row>
    <row r="510" spans="22:23">
      <c r="V510" s="4" t="s">
        <v>463</v>
      </c>
      <c r="W510" s="4" t="s">
        <v>1588</v>
      </c>
    </row>
    <row r="511" spans="22:23">
      <c r="V511" s="4" t="s">
        <v>463</v>
      </c>
      <c r="W511" s="4" t="s">
        <v>1443</v>
      </c>
    </row>
    <row r="512" spans="22:23">
      <c r="V512" s="4" t="s">
        <v>463</v>
      </c>
      <c r="W512" s="4" t="s">
        <v>1589</v>
      </c>
    </row>
    <row r="513" spans="22:23">
      <c r="V513" s="4" t="s">
        <v>463</v>
      </c>
      <c r="W513" s="4" t="s">
        <v>1298</v>
      </c>
    </row>
    <row r="514" spans="22:23">
      <c r="V514" s="4" t="s">
        <v>463</v>
      </c>
      <c r="W514" s="4" t="s">
        <v>1590</v>
      </c>
    </row>
    <row r="515" spans="22:23">
      <c r="V515" s="4" t="s">
        <v>463</v>
      </c>
      <c r="W515" s="4" t="s">
        <v>1591</v>
      </c>
    </row>
    <row r="516" spans="22:23">
      <c r="V516" s="4" t="s">
        <v>463</v>
      </c>
      <c r="W516" s="4" t="s">
        <v>1592</v>
      </c>
    </row>
    <row r="517" spans="22:23">
      <c r="V517" s="4" t="s">
        <v>463</v>
      </c>
      <c r="W517" s="4" t="s">
        <v>1593</v>
      </c>
    </row>
    <row r="518" spans="22:23">
      <c r="V518" s="4" t="s">
        <v>463</v>
      </c>
      <c r="W518" s="4" t="s">
        <v>1594</v>
      </c>
    </row>
    <row r="519" spans="22:23">
      <c r="V519" s="4" t="s">
        <v>474</v>
      </c>
      <c r="W519" s="4" t="s">
        <v>645</v>
      </c>
    </row>
    <row r="520" spans="22:23">
      <c r="V520" s="4" t="s">
        <v>474</v>
      </c>
      <c r="W520" s="4" t="s">
        <v>976</v>
      </c>
    </row>
    <row r="521" spans="22:23">
      <c r="V521" s="4" t="s">
        <v>474</v>
      </c>
      <c r="W521" s="4" t="s">
        <v>1300</v>
      </c>
    </row>
    <row r="522" spans="22:23">
      <c r="V522" s="4" t="s">
        <v>474</v>
      </c>
      <c r="W522" s="4" t="s">
        <v>851</v>
      </c>
    </row>
    <row r="523" spans="22:23">
      <c r="V523" s="4" t="s">
        <v>474</v>
      </c>
      <c r="W523" s="4" t="s">
        <v>978</v>
      </c>
    </row>
    <row r="524" spans="22:23">
      <c r="V524" s="4" t="s">
        <v>474</v>
      </c>
      <c r="W524" s="4" t="s">
        <v>1595</v>
      </c>
    </row>
    <row r="525" spans="22:23">
      <c r="V525" s="4" t="s">
        <v>474</v>
      </c>
      <c r="W525" s="4" t="s">
        <v>980</v>
      </c>
    </row>
    <row r="526" spans="22:23">
      <c r="V526" s="4" t="s">
        <v>474</v>
      </c>
      <c r="W526" s="4" t="s">
        <v>1596</v>
      </c>
    </row>
    <row r="527" spans="22:23">
      <c r="V527" s="4" t="s">
        <v>474</v>
      </c>
      <c r="W527" s="4" t="s">
        <v>984</v>
      </c>
    </row>
    <row r="528" spans="22:23">
      <c r="V528" s="4" t="s">
        <v>474</v>
      </c>
      <c r="W528" s="4" t="s">
        <v>1597</v>
      </c>
    </row>
    <row r="529" spans="22:23">
      <c r="V529" s="4" t="s">
        <v>474</v>
      </c>
      <c r="W529" s="4" t="s">
        <v>986</v>
      </c>
    </row>
    <row r="530" spans="22:23">
      <c r="V530" s="4" t="s">
        <v>474</v>
      </c>
      <c r="W530" s="4" t="s">
        <v>988</v>
      </c>
    </row>
    <row r="531" spans="22:23">
      <c r="V531" s="4" t="s">
        <v>474</v>
      </c>
      <c r="W531" s="4" t="s">
        <v>990</v>
      </c>
    </row>
    <row r="532" spans="22:23">
      <c r="V532" s="4" t="s">
        <v>474</v>
      </c>
      <c r="W532" s="4" t="s">
        <v>992</v>
      </c>
    </row>
    <row r="533" spans="22:23">
      <c r="V533" s="4" t="s">
        <v>474</v>
      </c>
      <c r="W533" s="4" t="s">
        <v>994</v>
      </c>
    </row>
    <row r="534" spans="22:23">
      <c r="V534" s="4" t="s">
        <v>474</v>
      </c>
      <c r="W534" s="4" t="s">
        <v>1302</v>
      </c>
    </row>
    <row r="535" spans="22:23">
      <c r="V535" s="4" t="s">
        <v>474</v>
      </c>
      <c r="W535" s="4" t="s">
        <v>996</v>
      </c>
    </row>
    <row r="536" spans="22:23">
      <c r="V536" s="4" t="s">
        <v>474</v>
      </c>
      <c r="W536" s="4" t="s">
        <v>853</v>
      </c>
    </row>
    <row r="537" spans="22:23">
      <c r="V537" s="4" t="s">
        <v>474</v>
      </c>
      <c r="W537" s="4" t="s">
        <v>998</v>
      </c>
    </row>
    <row r="538" spans="22:23">
      <c r="V538" s="4" t="s">
        <v>474</v>
      </c>
      <c r="W538" s="4" t="s">
        <v>1000</v>
      </c>
    </row>
    <row r="539" spans="22:23">
      <c r="V539" s="4" t="s">
        <v>474</v>
      </c>
      <c r="W539" s="4" t="s">
        <v>855</v>
      </c>
    </row>
    <row r="540" spans="22:23">
      <c r="V540" s="4" t="s">
        <v>474</v>
      </c>
      <c r="W540" s="4" t="s">
        <v>1002</v>
      </c>
    </row>
    <row r="541" spans="22:23">
      <c r="V541" s="4" t="s">
        <v>474</v>
      </c>
      <c r="W541" s="4" t="s">
        <v>792</v>
      </c>
    </row>
    <row r="542" spans="22:23">
      <c r="V542" s="4" t="s">
        <v>474</v>
      </c>
      <c r="W542" s="4" t="s">
        <v>1598</v>
      </c>
    </row>
    <row r="543" spans="22:23">
      <c r="V543" s="4" t="s">
        <v>474</v>
      </c>
      <c r="W543" s="4" t="s">
        <v>1599</v>
      </c>
    </row>
    <row r="544" spans="22:23">
      <c r="V544" s="4" t="s">
        <v>474</v>
      </c>
      <c r="W544" s="4" t="s">
        <v>857</v>
      </c>
    </row>
    <row r="545" spans="22:23">
      <c r="V545" s="4" t="s">
        <v>474</v>
      </c>
      <c r="W545" s="4" t="s">
        <v>1004</v>
      </c>
    </row>
    <row r="546" spans="22:23">
      <c r="V546" s="4" t="s">
        <v>474</v>
      </c>
      <c r="W546" s="4" t="s">
        <v>1006</v>
      </c>
    </row>
    <row r="547" spans="22:23">
      <c r="V547" s="4" t="s">
        <v>474</v>
      </c>
      <c r="W547" s="4" t="s">
        <v>1008</v>
      </c>
    </row>
    <row r="548" spans="22:23">
      <c r="V548" s="4" t="s">
        <v>474</v>
      </c>
      <c r="W548" s="4" t="s">
        <v>859</v>
      </c>
    </row>
    <row r="549" spans="22:23">
      <c r="V549" s="4" t="s">
        <v>474</v>
      </c>
      <c r="W549" s="4" t="s">
        <v>1010</v>
      </c>
    </row>
    <row r="550" spans="22:23">
      <c r="V550" s="4" t="s">
        <v>474</v>
      </c>
      <c r="W550" s="4" t="s">
        <v>1012</v>
      </c>
    </row>
    <row r="551" spans="22:23">
      <c r="V551" s="4" t="s">
        <v>474</v>
      </c>
      <c r="W551" s="4" t="s">
        <v>1014</v>
      </c>
    </row>
    <row r="552" spans="22:23">
      <c r="V552" s="4" t="s">
        <v>474</v>
      </c>
      <c r="W552" s="4" t="s">
        <v>1016</v>
      </c>
    </row>
    <row r="553" spans="22:23">
      <c r="V553" s="4" t="s">
        <v>474</v>
      </c>
      <c r="W553" s="4" t="s">
        <v>1018</v>
      </c>
    </row>
    <row r="554" spans="22:23">
      <c r="V554" s="4" t="s">
        <v>474</v>
      </c>
      <c r="W554" s="4" t="s">
        <v>1020</v>
      </c>
    </row>
    <row r="555" spans="22:23">
      <c r="V555" s="4" t="s">
        <v>474</v>
      </c>
      <c r="W555" s="4" t="s">
        <v>1304</v>
      </c>
    </row>
    <row r="556" spans="22:23">
      <c r="V556" s="4" t="s">
        <v>474</v>
      </c>
      <c r="W556" s="4" t="s">
        <v>1022</v>
      </c>
    </row>
    <row r="557" spans="22:23">
      <c r="V557" s="4" t="s">
        <v>474</v>
      </c>
      <c r="W557" s="4" t="s">
        <v>861</v>
      </c>
    </row>
    <row r="558" spans="22:23">
      <c r="V558" s="4" t="s">
        <v>474</v>
      </c>
      <c r="W558" s="4" t="s">
        <v>1600</v>
      </c>
    </row>
    <row r="559" spans="22:23">
      <c r="V559" s="4" t="s">
        <v>474</v>
      </c>
      <c r="W559" s="4" t="s">
        <v>1026</v>
      </c>
    </row>
    <row r="560" spans="22:23">
      <c r="V560" s="4" t="s">
        <v>474</v>
      </c>
      <c r="W560" s="4" t="s">
        <v>1028</v>
      </c>
    </row>
    <row r="561" spans="22:23">
      <c r="V561" s="4" t="s">
        <v>474</v>
      </c>
      <c r="W561" s="4" t="s">
        <v>1306</v>
      </c>
    </row>
    <row r="562" spans="22:23">
      <c r="V562" s="4" t="s">
        <v>474</v>
      </c>
      <c r="W562" s="4" t="s">
        <v>1308</v>
      </c>
    </row>
    <row r="563" spans="22:23">
      <c r="V563" s="4" t="s">
        <v>474</v>
      </c>
      <c r="W563" s="4" t="s">
        <v>1310</v>
      </c>
    </row>
    <row r="564" spans="22:23">
      <c r="V564" s="4" t="s">
        <v>474</v>
      </c>
      <c r="W564" s="4" t="s">
        <v>1601</v>
      </c>
    </row>
    <row r="565" spans="22:23">
      <c r="V565" s="4" t="s">
        <v>474</v>
      </c>
      <c r="W565" s="4" t="s">
        <v>1602</v>
      </c>
    </row>
    <row r="566" spans="22:23">
      <c r="V566" s="4" t="s">
        <v>474</v>
      </c>
      <c r="W566" s="4" t="s">
        <v>1312</v>
      </c>
    </row>
    <row r="567" spans="22:23">
      <c r="V567" s="4" t="s">
        <v>474</v>
      </c>
      <c r="W567" s="4" t="s">
        <v>1314</v>
      </c>
    </row>
    <row r="568" spans="22:23">
      <c r="V568" s="4" t="s">
        <v>474</v>
      </c>
      <c r="W568" s="4" t="s">
        <v>1316</v>
      </c>
    </row>
    <row r="569" spans="22:23">
      <c r="V569" s="4" t="s">
        <v>474</v>
      </c>
      <c r="W569" s="4" t="s">
        <v>1603</v>
      </c>
    </row>
    <row r="570" spans="22:23">
      <c r="V570" s="4" t="s">
        <v>474</v>
      </c>
      <c r="W570" s="4" t="s">
        <v>1604</v>
      </c>
    </row>
    <row r="571" spans="22:23">
      <c r="V571" s="4" t="s">
        <v>474</v>
      </c>
      <c r="W571" s="4" t="s">
        <v>1605</v>
      </c>
    </row>
    <row r="572" spans="22:23">
      <c r="V572" s="4" t="s">
        <v>474</v>
      </c>
      <c r="W572" s="4" t="s">
        <v>1606</v>
      </c>
    </row>
    <row r="573" spans="22:23">
      <c r="V573" s="4" t="s">
        <v>474</v>
      </c>
      <c r="W573" s="4" t="s">
        <v>1607</v>
      </c>
    </row>
    <row r="574" spans="22:23">
      <c r="V574" s="4" t="s">
        <v>474</v>
      </c>
      <c r="W574" s="4" t="s">
        <v>1608</v>
      </c>
    </row>
    <row r="575" spans="22:23">
      <c r="V575" s="4" t="s">
        <v>474</v>
      </c>
      <c r="W575" s="4" t="s">
        <v>1255</v>
      </c>
    </row>
    <row r="576" spans="22:23">
      <c r="V576" s="4" t="s">
        <v>474</v>
      </c>
      <c r="W576" s="4" t="s">
        <v>1609</v>
      </c>
    </row>
    <row r="577" spans="22:23">
      <c r="V577" s="4" t="s">
        <v>474</v>
      </c>
      <c r="W577" s="4" t="s">
        <v>1610</v>
      </c>
    </row>
    <row r="578" spans="22:23">
      <c r="V578" s="4" t="s">
        <v>474</v>
      </c>
      <c r="W578" s="4" t="s">
        <v>1318</v>
      </c>
    </row>
    <row r="579" spans="22:23">
      <c r="V579" s="4" t="s">
        <v>474</v>
      </c>
      <c r="W579" s="4" t="s">
        <v>1030</v>
      </c>
    </row>
    <row r="580" spans="22:23">
      <c r="V580" s="4" t="s">
        <v>474</v>
      </c>
      <c r="W580" s="4" t="s">
        <v>1032</v>
      </c>
    </row>
    <row r="581" spans="22:23">
      <c r="V581" s="4" t="s">
        <v>474</v>
      </c>
      <c r="W581" s="4" t="s">
        <v>1034</v>
      </c>
    </row>
    <row r="582" spans="22:23">
      <c r="V582" s="4" t="s">
        <v>483</v>
      </c>
      <c r="W582" s="4" t="s">
        <v>654</v>
      </c>
    </row>
    <row r="583" spans="22:23">
      <c r="V583" s="4" t="s">
        <v>483</v>
      </c>
      <c r="W583" s="4" t="s">
        <v>1611</v>
      </c>
    </row>
    <row r="584" spans="22:23">
      <c r="V584" s="4" t="s">
        <v>483</v>
      </c>
      <c r="W584" s="4" t="s">
        <v>863</v>
      </c>
    </row>
    <row r="585" spans="22:23">
      <c r="V585" s="4" t="s">
        <v>483</v>
      </c>
      <c r="W585" s="4" t="s">
        <v>798</v>
      </c>
    </row>
    <row r="586" spans="22:23">
      <c r="V586" s="4" t="s">
        <v>483</v>
      </c>
      <c r="W586" s="4" t="s">
        <v>1612</v>
      </c>
    </row>
    <row r="587" spans="22:23">
      <c r="V587" s="4" t="s">
        <v>483</v>
      </c>
      <c r="W587" s="4" t="s">
        <v>1036</v>
      </c>
    </row>
    <row r="588" spans="22:23">
      <c r="V588" s="4" t="s">
        <v>483</v>
      </c>
      <c r="W588" s="4" t="s">
        <v>865</v>
      </c>
    </row>
    <row r="589" spans="22:23">
      <c r="V589" s="4" t="s">
        <v>483</v>
      </c>
      <c r="W589" s="4" t="s">
        <v>1038</v>
      </c>
    </row>
    <row r="590" spans="22:23">
      <c r="V590" s="4" t="s">
        <v>483</v>
      </c>
      <c r="W590" s="4" t="s">
        <v>1040</v>
      </c>
    </row>
    <row r="591" spans="22:23">
      <c r="V591" s="4" t="s">
        <v>483</v>
      </c>
      <c r="W591" s="4" t="s">
        <v>800</v>
      </c>
    </row>
    <row r="592" spans="22:23">
      <c r="V592" s="4" t="s">
        <v>483</v>
      </c>
      <c r="W592" s="4" t="s">
        <v>867</v>
      </c>
    </row>
    <row r="593" spans="22:23">
      <c r="V593" s="4" t="s">
        <v>483</v>
      </c>
      <c r="W593" s="4" t="s">
        <v>1320</v>
      </c>
    </row>
    <row r="594" spans="22:23">
      <c r="V594" s="4" t="s">
        <v>483</v>
      </c>
      <c r="W594" s="4" t="s">
        <v>1613</v>
      </c>
    </row>
    <row r="595" spans="22:23">
      <c r="V595" s="4" t="s">
        <v>483</v>
      </c>
      <c r="W595" s="4" t="s">
        <v>802</v>
      </c>
    </row>
    <row r="596" spans="22:23">
      <c r="V596" s="4" t="s">
        <v>483</v>
      </c>
      <c r="W596" s="4" t="s">
        <v>1042</v>
      </c>
    </row>
    <row r="597" spans="22:23">
      <c r="V597" s="4" t="s">
        <v>483</v>
      </c>
      <c r="W597" s="4" t="s">
        <v>1614</v>
      </c>
    </row>
    <row r="598" spans="22:23">
      <c r="V598" s="4" t="s">
        <v>483</v>
      </c>
      <c r="W598" s="4" t="s">
        <v>869</v>
      </c>
    </row>
    <row r="599" spans="22:23">
      <c r="V599" s="4" t="s">
        <v>483</v>
      </c>
      <c r="W599" s="4" t="s">
        <v>1044</v>
      </c>
    </row>
    <row r="600" spans="22:23">
      <c r="V600" s="4" t="s">
        <v>483</v>
      </c>
      <c r="W600" s="4" t="s">
        <v>872</v>
      </c>
    </row>
    <row r="601" spans="22:23">
      <c r="V601" s="4" t="s">
        <v>483</v>
      </c>
      <c r="W601" s="4" t="s">
        <v>1046</v>
      </c>
    </row>
    <row r="602" spans="22:23">
      <c r="V602" s="4" t="s">
        <v>483</v>
      </c>
      <c r="W602" s="4" t="s">
        <v>1615</v>
      </c>
    </row>
    <row r="603" spans="22:23">
      <c r="V603" s="4" t="s">
        <v>483</v>
      </c>
      <c r="W603" s="4" t="s">
        <v>1048</v>
      </c>
    </row>
    <row r="604" spans="22:23">
      <c r="V604" s="4" t="s">
        <v>483</v>
      </c>
      <c r="W604" s="4" t="s">
        <v>1322</v>
      </c>
    </row>
    <row r="605" spans="22:23">
      <c r="V605" s="4" t="s">
        <v>483</v>
      </c>
      <c r="W605" s="4" t="s">
        <v>1324</v>
      </c>
    </row>
    <row r="606" spans="22:23">
      <c r="V606" s="4" t="s">
        <v>483</v>
      </c>
      <c r="W606" s="4" t="s">
        <v>663</v>
      </c>
    </row>
    <row r="607" spans="22:23">
      <c r="V607" s="4" t="s">
        <v>483</v>
      </c>
      <c r="W607" s="4" t="s">
        <v>874</v>
      </c>
    </row>
    <row r="608" spans="22:23">
      <c r="V608" s="4" t="s">
        <v>483</v>
      </c>
      <c r="W608" s="4" t="s">
        <v>876</v>
      </c>
    </row>
    <row r="609" spans="22:23">
      <c r="V609" s="4" t="s">
        <v>483</v>
      </c>
      <c r="W609" s="4" t="s">
        <v>1326</v>
      </c>
    </row>
    <row r="610" spans="22:23">
      <c r="V610" s="4" t="s">
        <v>483</v>
      </c>
      <c r="W610" s="4" t="s">
        <v>878</v>
      </c>
    </row>
    <row r="611" spans="22:23">
      <c r="V611" s="4" t="s">
        <v>483</v>
      </c>
      <c r="W611" s="4" t="s">
        <v>1050</v>
      </c>
    </row>
    <row r="612" spans="22:23">
      <c r="V612" s="4" t="s">
        <v>483</v>
      </c>
      <c r="W612" s="4" t="s">
        <v>1616</v>
      </c>
    </row>
    <row r="613" spans="22:23">
      <c r="V613" s="4" t="s">
        <v>483</v>
      </c>
      <c r="W613" s="4" t="s">
        <v>1617</v>
      </c>
    </row>
    <row r="614" spans="22:23">
      <c r="V614" s="4" t="s">
        <v>483</v>
      </c>
      <c r="W614" s="4" t="s">
        <v>1618</v>
      </c>
    </row>
    <row r="615" spans="22:23">
      <c r="V615" s="4" t="s">
        <v>483</v>
      </c>
      <c r="W615" s="4" t="s">
        <v>1619</v>
      </c>
    </row>
    <row r="616" spans="22:23">
      <c r="V616" s="4" t="s">
        <v>483</v>
      </c>
      <c r="W616" s="4" t="s">
        <v>1330</v>
      </c>
    </row>
    <row r="617" spans="22:23">
      <c r="V617" s="4" t="s">
        <v>483</v>
      </c>
      <c r="W617" s="4" t="s">
        <v>1620</v>
      </c>
    </row>
    <row r="618" spans="22:23">
      <c r="V618" s="4" t="s">
        <v>483</v>
      </c>
      <c r="W618" s="4" t="s">
        <v>1621</v>
      </c>
    </row>
    <row r="619" spans="22:23">
      <c r="V619" s="4" t="s">
        <v>483</v>
      </c>
      <c r="W619" s="4" t="s">
        <v>1052</v>
      </c>
    </row>
    <row r="620" spans="22:23">
      <c r="V620" s="4" t="s">
        <v>483</v>
      </c>
      <c r="W620" s="4" t="s">
        <v>880</v>
      </c>
    </row>
    <row r="621" spans="22:23">
      <c r="V621" s="4" t="s">
        <v>483</v>
      </c>
      <c r="W621" s="4" t="s">
        <v>1622</v>
      </c>
    </row>
    <row r="622" spans="22:23">
      <c r="V622" s="4" t="s">
        <v>483</v>
      </c>
      <c r="W622" s="4" t="s">
        <v>1623</v>
      </c>
    </row>
    <row r="623" spans="22:23">
      <c r="V623" s="4" t="s">
        <v>483</v>
      </c>
      <c r="W623" s="4" t="s">
        <v>1624</v>
      </c>
    </row>
    <row r="624" spans="22:23">
      <c r="V624" s="4" t="s">
        <v>483</v>
      </c>
      <c r="W624" s="4" t="s">
        <v>1625</v>
      </c>
    </row>
    <row r="625" spans="22:23">
      <c r="V625" s="4" t="s">
        <v>483</v>
      </c>
      <c r="W625" s="4" t="s">
        <v>1626</v>
      </c>
    </row>
    <row r="626" spans="22:23">
      <c r="V626" s="4" t="s">
        <v>483</v>
      </c>
      <c r="W626" s="4" t="s">
        <v>1627</v>
      </c>
    </row>
    <row r="627" spans="22:23">
      <c r="V627" s="4" t="s">
        <v>483</v>
      </c>
      <c r="W627" s="4" t="s">
        <v>1628</v>
      </c>
    </row>
    <row r="628" spans="22:23">
      <c r="V628" s="4" t="s">
        <v>483</v>
      </c>
      <c r="W628" s="4" t="s">
        <v>1629</v>
      </c>
    </row>
    <row r="629" spans="22:23">
      <c r="V629" s="4" t="s">
        <v>483</v>
      </c>
      <c r="W629" s="4" t="s">
        <v>1630</v>
      </c>
    </row>
    <row r="630" spans="22:23">
      <c r="V630" s="4" t="s">
        <v>483</v>
      </c>
      <c r="W630" s="4" t="s">
        <v>1631</v>
      </c>
    </row>
    <row r="631" spans="22:23">
      <c r="V631" s="4" t="s">
        <v>483</v>
      </c>
      <c r="W631" s="4" t="s">
        <v>1334</v>
      </c>
    </row>
    <row r="632" spans="22:23">
      <c r="V632" s="4" t="s">
        <v>483</v>
      </c>
      <c r="W632" s="4" t="s">
        <v>1336</v>
      </c>
    </row>
    <row r="633" spans="22:23">
      <c r="V633" s="4" t="s">
        <v>483</v>
      </c>
      <c r="W633" s="4" t="s">
        <v>1632</v>
      </c>
    </row>
    <row r="634" spans="22:23">
      <c r="V634" s="4" t="s">
        <v>483</v>
      </c>
      <c r="W634" s="4" t="s">
        <v>1633</v>
      </c>
    </row>
    <row r="635" spans="22:23">
      <c r="V635" s="4" t="s">
        <v>483</v>
      </c>
      <c r="W635" s="4" t="s">
        <v>1634</v>
      </c>
    </row>
    <row r="636" spans="22:23">
      <c r="V636" s="4" t="s">
        <v>490</v>
      </c>
      <c r="W636" s="4" t="s">
        <v>1635</v>
      </c>
    </row>
    <row r="637" spans="22:23">
      <c r="V637" s="4" t="s">
        <v>490</v>
      </c>
      <c r="W637" s="4" t="s">
        <v>1636</v>
      </c>
    </row>
    <row r="638" spans="22:23">
      <c r="V638" s="4" t="s">
        <v>490</v>
      </c>
      <c r="W638" s="4" t="s">
        <v>1637</v>
      </c>
    </row>
    <row r="639" spans="22:23">
      <c r="V639" s="4" t="s">
        <v>490</v>
      </c>
      <c r="W639" s="4" t="s">
        <v>1638</v>
      </c>
    </row>
    <row r="640" spans="22:23">
      <c r="V640" s="4" t="s">
        <v>490</v>
      </c>
      <c r="W640" s="4" t="s">
        <v>1639</v>
      </c>
    </row>
    <row r="641" spans="22:23">
      <c r="V641" s="4" t="s">
        <v>490</v>
      </c>
      <c r="W641" s="4" t="s">
        <v>1640</v>
      </c>
    </row>
    <row r="642" spans="22:23">
      <c r="V642" s="4" t="s">
        <v>490</v>
      </c>
      <c r="W642" s="4" t="s">
        <v>1641</v>
      </c>
    </row>
    <row r="643" spans="22:23">
      <c r="V643" s="4" t="s">
        <v>490</v>
      </c>
      <c r="W643" s="4" t="s">
        <v>1642</v>
      </c>
    </row>
    <row r="644" spans="22:23">
      <c r="V644" s="4" t="s">
        <v>490</v>
      </c>
      <c r="W644" s="4" t="s">
        <v>1643</v>
      </c>
    </row>
    <row r="645" spans="22:23">
      <c r="V645" s="4" t="s">
        <v>490</v>
      </c>
      <c r="W645" s="4" t="s">
        <v>1644</v>
      </c>
    </row>
    <row r="646" spans="22:23">
      <c r="V646" s="4" t="s">
        <v>490</v>
      </c>
      <c r="W646" s="4" t="s">
        <v>1645</v>
      </c>
    </row>
    <row r="647" spans="22:23">
      <c r="V647" s="4" t="s">
        <v>490</v>
      </c>
      <c r="W647" s="4" t="s">
        <v>1646</v>
      </c>
    </row>
    <row r="648" spans="22:23">
      <c r="V648" s="4" t="s">
        <v>490</v>
      </c>
      <c r="W648" s="4" t="s">
        <v>1647</v>
      </c>
    </row>
    <row r="649" spans="22:23">
      <c r="V649" s="4" t="s">
        <v>490</v>
      </c>
      <c r="W649" s="4" t="s">
        <v>1648</v>
      </c>
    </row>
    <row r="650" spans="22:23">
      <c r="V650" s="4" t="s">
        <v>490</v>
      </c>
      <c r="W650" s="4" t="s">
        <v>1649</v>
      </c>
    </row>
    <row r="651" spans="22:23">
      <c r="V651" s="4" t="s">
        <v>490</v>
      </c>
      <c r="W651" s="4" t="s">
        <v>1650</v>
      </c>
    </row>
    <row r="652" spans="22:23">
      <c r="V652" s="4" t="s">
        <v>490</v>
      </c>
      <c r="W652" s="4" t="s">
        <v>1651</v>
      </c>
    </row>
    <row r="653" spans="22:23">
      <c r="V653" s="4" t="s">
        <v>490</v>
      </c>
      <c r="W653" s="4" t="s">
        <v>1652</v>
      </c>
    </row>
    <row r="654" spans="22:23">
      <c r="V654" s="4" t="s">
        <v>490</v>
      </c>
      <c r="W654" s="4" t="s">
        <v>1653</v>
      </c>
    </row>
    <row r="655" spans="22:23">
      <c r="V655" s="4" t="s">
        <v>490</v>
      </c>
      <c r="W655" s="4" t="s">
        <v>1654</v>
      </c>
    </row>
    <row r="656" spans="22:23">
      <c r="V656" s="4" t="s">
        <v>490</v>
      </c>
      <c r="W656" s="4" t="s">
        <v>1655</v>
      </c>
    </row>
    <row r="657" spans="22:23">
      <c r="V657" s="4" t="s">
        <v>490</v>
      </c>
      <c r="W657" s="4" t="s">
        <v>1656</v>
      </c>
    </row>
    <row r="658" spans="22:23">
      <c r="V658" s="4" t="s">
        <v>490</v>
      </c>
      <c r="W658" s="4" t="s">
        <v>1657</v>
      </c>
    </row>
    <row r="659" spans="22:23">
      <c r="V659" s="4" t="s">
        <v>490</v>
      </c>
      <c r="W659" s="4" t="s">
        <v>670</v>
      </c>
    </row>
    <row r="660" spans="22:23">
      <c r="V660" s="4" t="s">
        <v>490</v>
      </c>
      <c r="W660" s="4" t="s">
        <v>804</v>
      </c>
    </row>
    <row r="661" spans="22:23">
      <c r="V661" s="4" t="s">
        <v>490</v>
      </c>
      <c r="W661" s="4" t="s">
        <v>675</v>
      </c>
    </row>
    <row r="662" spans="22:23">
      <c r="V662" s="4" t="s">
        <v>490</v>
      </c>
      <c r="W662" s="4" t="s">
        <v>680</v>
      </c>
    </row>
    <row r="663" spans="22:23">
      <c r="V663" s="4" t="s">
        <v>490</v>
      </c>
      <c r="W663" s="4" t="s">
        <v>688</v>
      </c>
    </row>
    <row r="664" spans="22:23">
      <c r="V664" s="4" t="s">
        <v>490</v>
      </c>
      <c r="W664" s="4" t="s">
        <v>1658</v>
      </c>
    </row>
    <row r="665" spans="22:23">
      <c r="V665" s="4" t="s">
        <v>490</v>
      </c>
      <c r="W665" s="4" t="s">
        <v>806</v>
      </c>
    </row>
    <row r="666" spans="22:23">
      <c r="V666" s="4" t="s">
        <v>490</v>
      </c>
      <c r="W666" s="4" t="s">
        <v>582</v>
      </c>
    </row>
    <row r="667" spans="22:23">
      <c r="V667" s="4" t="s">
        <v>490</v>
      </c>
      <c r="W667" s="4" t="s">
        <v>1659</v>
      </c>
    </row>
    <row r="668" spans="22:23">
      <c r="V668" s="4" t="s">
        <v>490</v>
      </c>
      <c r="W668" s="4" t="s">
        <v>701</v>
      </c>
    </row>
    <row r="669" spans="22:23">
      <c r="V669" s="4" t="s">
        <v>490</v>
      </c>
      <c r="W669" s="4" t="s">
        <v>711</v>
      </c>
    </row>
    <row r="670" spans="22:23">
      <c r="V670" s="4" t="s">
        <v>490</v>
      </c>
      <c r="W670" s="4" t="s">
        <v>716</v>
      </c>
    </row>
    <row r="671" spans="22:23">
      <c r="V671" s="4" t="s">
        <v>490</v>
      </c>
      <c r="W671" s="4" t="s">
        <v>1660</v>
      </c>
    </row>
    <row r="672" spans="22:23">
      <c r="V672" s="4" t="s">
        <v>490</v>
      </c>
      <c r="W672" s="4" t="s">
        <v>729</v>
      </c>
    </row>
    <row r="673" spans="22:23">
      <c r="V673" s="4" t="s">
        <v>490</v>
      </c>
      <c r="W673" s="4" t="s">
        <v>734</v>
      </c>
    </row>
    <row r="674" spans="22:23">
      <c r="V674" s="4" t="s">
        <v>490</v>
      </c>
      <c r="W674" s="4" t="s">
        <v>1661</v>
      </c>
    </row>
    <row r="675" spans="22:23">
      <c r="V675" s="4" t="s">
        <v>490</v>
      </c>
      <c r="W675" s="4" t="s">
        <v>1662</v>
      </c>
    </row>
    <row r="676" spans="22:23">
      <c r="V676" s="4" t="s">
        <v>490</v>
      </c>
      <c r="W676" s="4" t="s">
        <v>808</v>
      </c>
    </row>
    <row r="677" spans="22:23">
      <c r="V677" s="4" t="s">
        <v>490</v>
      </c>
      <c r="W677" s="4" t="s">
        <v>1663</v>
      </c>
    </row>
    <row r="678" spans="22:23">
      <c r="V678" s="4" t="s">
        <v>490</v>
      </c>
      <c r="W678" s="4" t="s">
        <v>745</v>
      </c>
    </row>
    <row r="679" spans="22:23">
      <c r="V679" s="4" t="s">
        <v>490</v>
      </c>
      <c r="W679" s="4" t="s">
        <v>1054</v>
      </c>
    </row>
    <row r="680" spans="22:23">
      <c r="V680" s="4" t="s">
        <v>490</v>
      </c>
      <c r="W680" s="4" t="s">
        <v>1664</v>
      </c>
    </row>
    <row r="681" spans="22:23">
      <c r="V681" s="4" t="s">
        <v>490</v>
      </c>
      <c r="W681" s="4" t="s">
        <v>750</v>
      </c>
    </row>
    <row r="682" spans="22:23">
      <c r="V682" s="4" t="s">
        <v>490</v>
      </c>
      <c r="W682" s="4" t="s">
        <v>1056</v>
      </c>
    </row>
    <row r="683" spans="22:23">
      <c r="V683" s="4" t="s">
        <v>490</v>
      </c>
      <c r="W683" s="4" t="s">
        <v>884</v>
      </c>
    </row>
    <row r="684" spans="22:23">
      <c r="V684" s="4" t="s">
        <v>490</v>
      </c>
      <c r="W684" s="4" t="s">
        <v>754</v>
      </c>
    </row>
    <row r="685" spans="22:23">
      <c r="V685" s="4" t="s">
        <v>490</v>
      </c>
      <c r="W685" s="4" t="s">
        <v>1665</v>
      </c>
    </row>
    <row r="686" spans="22:23">
      <c r="V686" s="4" t="s">
        <v>490</v>
      </c>
      <c r="W686" s="4" t="s">
        <v>886</v>
      </c>
    </row>
    <row r="687" spans="22:23">
      <c r="V687" s="4" t="s">
        <v>490</v>
      </c>
      <c r="W687" s="4" t="s">
        <v>1062</v>
      </c>
    </row>
    <row r="688" spans="22:23">
      <c r="V688" s="4" t="s">
        <v>490</v>
      </c>
      <c r="W688" s="4" t="s">
        <v>1060</v>
      </c>
    </row>
    <row r="689" spans="22:23">
      <c r="V689" s="4" t="s">
        <v>490</v>
      </c>
      <c r="W689" s="4" t="s">
        <v>1666</v>
      </c>
    </row>
    <row r="690" spans="22:23">
      <c r="V690" s="4" t="s">
        <v>490</v>
      </c>
      <c r="W690" s="4" t="s">
        <v>1667</v>
      </c>
    </row>
    <row r="691" spans="22:23">
      <c r="V691" s="4" t="s">
        <v>490</v>
      </c>
      <c r="W691" s="4" t="s">
        <v>1668</v>
      </c>
    </row>
    <row r="692" spans="22:23">
      <c r="V692" s="4" t="s">
        <v>490</v>
      </c>
      <c r="W692" s="4" t="s">
        <v>1669</v>
      </c>
    </row>
    <row r="693" spans="22:23">
      <c r="V693" s="4" t="s">
        <v>490</v>
      </c>
      <c r="W693" s="4" t="s">
        <v>1670</v>
      </c>
    </row>
    <row r="694" spans="22:23">
      <c r="V694" s="4" t="s">
        <v>490</v>
      </c>
      <c r="W694" s="4" t="s">
        <v>1671</v>
      </c>
    </row>
    <row r="695" spans="22:23">
      <c r="V695" s="4" t="s">
        <v>490</v>
      </c>
      <c r="W695" s="4" t="s">
        <v>1672</v>
      </c>
    </row>
    <row r="696" spans="22:23">
      <c r="V696" s="4" t="s">
        <v>490</v>
      </c>
      <c r="W696" s="4" t="s">
        <v>1673</v>
      </c>
    </row>
    <row r="697" spans="22:23">
      <c r="V697" s="4" t="s">
        <v>490</v>
      </c>
      <c r="W697" s="4" t="s">
        <v>1674</v>
      </c>
    </row>
    <row r="698" spans="22:23">
      <c r="V698" s="4" t="s">
        <v>500</v>
      </c>
      <c r="W698" s="4" t="s">
        <v>1675</v>
      </c>
    </row>
    <row r="699" spans="22:23">
      <c r="V699" s="4" t="s">
        <v>500</v>
      </c>
      <c r="W699" s="4" t="s">
        <v>1676</v>
      </c>
    </row>
    <row r="700" spans="22:23">
      <c r="V700" s="4" t="s">
        <v>500</v>
      </c>
      <c r="W700" s="4" t="s">
        <v>810</v>
      </c>
    </row>
    <row r="701" spans="22:23">
      <c r="V701" s="4" t="s">
        <v>500</v>
      </c>
      <c r="W701" s="4" t="s">
        <v>812</v>
      </c>
    </row>
    <row r="702" spans="22:23">
      <c r="V702" s="4" t="s">
        <v>500</v>
      </c>
      <c r="W702" s="4" t="s">
        <v>888</v>
      </c>
    </row>
    <row r="703" spans="22:23">
      <c r="V703" s="4" t="s">
        <v>500</v>
      </c>
      <c r="W703" s="4" t="s">
        <v>759</v>
      </c>
    </row>
    <row r="704" spans="22:23">
      <c r="V704" s="4" t="s">
        <v>500</v>
      </c>
      <c r="W704" s="4" t="s">
        <v>814</v>
      </c>
    </row>
    <row r="705" spans="22:23">
      <c r="V705" s="4" t="s">
        <v>500</v>
      </c>
      <c r="W705" s="4" t="s">
        <v>890</v>
      </c>
    </row>
    <row r="706" spans="22:23">
      <c r="V706" s="4" t="s">
        <v>500</v>
      </c>
      <c r="W706" s="4" t="s">
        <v>892</v>
      </c>
    </row>
    <row r="707" spans="22:23">
      <c r="V707" s="4" t="s">
        <v>500</v>
      </c>
      <c r="W707" s="4" t="s">
        <v>816</v>
      </c>
    </row>
    <row r="708" spans="22:23">
      <c r="V708" s="4" t="s">
        <v>500</v>
      </c>
      <c r="W708" s="4" t="s">
        <v>818</v>
      </c>
    </row>
    <row r="709" spans="22:23">
      <c r="V709" s="4" t="s">
        <v>500</v>
      </c>
      <c r="W709" s="4" t="s">
        <v>1064</v>
      </c>
    </row>
    <row r="710" spans="22:23">
      <c r="V710" s="4" t="s">
        <v>500</v>
      </c>
      <c r="W710" s="4" t="s">
        <v>763</v>
      </c>
    </row>
    <row r="711" spans="22:23">
      <c r="V711" s="4" t="s">
        <v>500</v>
      </c>
      <c r="W711" s="4" t="s">
        <v>894</v>
      </c>
    </row>
    <row r="712" spans="22:23">
      <c r="V712" s="4" t="s">
        <v>500</v>
      </c>
      <c r="W712" s="4" t="s">
        <v>896</v>
      </c>
    </row>
    <row r="713" spans="22:23">
      <c r="V713" s="4" t="s">
        <v>500</v>
      </c>
      <c r="W713" s="4" t="s">
        <v>1677</v>
      </c>
    </row>
    <row r="714" spans="22:23">
      <c r="V714" s="4" t="s">
        <v>500</v>
      </c>
      <c r="W714" s="4" t="s">
        <v>898</v>
      </c>
    </row>
    <row r="715" spans="22:23">
      <c r="V715" s="4" t="s">
        <v>500</v>
      </c>
      <c r="W715" s="4" t="s">
        <v>1678</v>
      </c>
    </row>
    <row r="716" spans="22:23">
      <c r="V716" s="4" t="s">
        <v>500</v>
      </c>
      <c r="W716" s="4" t="s">
        <v>900</v>
      </c>
    </row>
    <row r="717" spans="22:23">
      <c r="V717" s="4" t="s">
        <v>500</v>
      </c>
      <c r="W717" s="4" t="s">
        <v>902</v>
      </c>
    </row>
    <row r="718" spans="22:23">
      <c r="V718" s="4" t="s">
        <v>500</v>
      </c>
      <c r="W718" s="4" t="s">
        <v>904</v>
      </c>
    </row>
    <row r="719" spans="22:23">
      <c r="V719" s="4" t="s">
        <v>500</v>
      </c>
      <c r="W719" s="4" t="s">
        <v>1066</v>
      </c>
    </row>
    <row r="720" spans="22:23">
      <c r="V720" s="4" t="s">
        <v>500</v>
      </c>
      <c r="W720" s="4" t="s">
        <v>1068</v>
      </c>
    </row>
    <row r="721" spans="22:23">
      <c r="V721" s="4" t="s">
        <v>500</v>
      </c>
      <c r="W721" s="4" t="s">
        <v>1679</v>
      </c>
    </row>
    <row r="722" spans="22:23">
      <c r="V722" s="4" t="s">
        <v>500</v>
      </c>
      <c r="W722" s="4" t="s">
        <v>1680</v>
      </c>
    </row>
    <row r="723" spans="22:23">
      <c r="V723" s="4" t="s">
        <v>500</v>
      </c>
      <c r="W723" s="4" t="s">
        <v>1681</v>
      </c>
    </row>
    <row r="724" spans="22:23">
      <c r="V724" s="4" t="s">
        <v>500</v>
      </c>
      <c r="W724" s="4" t="s">
        <v>1682</v>
      </c>
    </row>
    <row r="725" spans="22:23">
      <c r="V725" s="4" t="s">
        <v>500</v>
      </c>
      <c r="W725" s="4" t="s">
        <v>1683</v>
      </c>
    </row>
    <row r="726" spans="22:23">
      <c r="V726" s="4" t="s">
        <v>500</v>
      </c>
      <c r="W726" s="4" t="s">
        <v>1342</v>
      </c>
    </row>
    <row r="727" spans="22:23">
      <c r="V727" s="4" t="s">
        <v>500</v>
      </c>
      <c r="W727" s="4" t="s">
        <v>1684</v>
      </c>
    </row>
    <row r="728" spans="22:23">
      <c r="V728" s="4" t="s">
        <v>500</v>
      </c>
      <c r="W728" s="4" t="s">
        <v>1685</v>
      </c>
    </row>
    <row r="729" spans="22:23">
      <c r="V729" s="4" t="s">
        <v>500</v>
      </c>
      <c r="W729" s="4" t="s">
        <v>906</v>
      </c>
    </row>
    <row r="730" spans="22:23">
      <c r="V730" s="4" t="s">
        <v>500</v>
      </c>
      <c r="W730" s="4" t="s">
        <v>1072</v>
      </c>
    </row>
    <row r="731" spans="22:23">
      <c r="V731" s="4" t="s">
        <v>507</v>
      </c>
      <c r="W731" s="4" t="s">
        <v>1344</v>
      </c>
    </row>
    <row r="732" spans="22:23">
      <c r="V732" s="4" t="s">
        <v>507</v>
      </c>
      <c r="W732" s="4" t="s">
        <v>1686</v>
      </c>
    </row>
    <row r="733" spans="22:23">
      <c r="V733" s="4" t="s">
        <v>507</v>
      </c>
      <c r="W733" s="4" t="s">
        <v>1687</v>
      </c>
    </row>
    <row r="734" spans="22:23">
      <c r="V734" s="4" t="s">
        <v>507</v>
      </c>
      <c r="W734" s="4" t="s">
        <v>1688</v>
      </c>
    </row>
    <row r="735" spans="22:23">
      <c r="V735" s="4" t="s">
        <v>507</v>
      </c>
      <c r="W735" s="4" t="s">
        <v>1689</v>
      </c>
    </row>
    <row r="736" spans="22:23">
      <c r="V736" s="4" t="s">
        <v>507</v>
      </c>
      <c r="W736" s="4" t="s">
        <v>1690</v>
      </c>
    </row>
    <row r="737" spans="22:23">
      <c r="V737" s="4" t="s">
        <v>507</v>
      </c>
      <c r="W737" s="4" t="s">
        <v>1691</v>
      </c>
    </row>
    <row r="738" spans="22:23">
      <c r="V738" s="4" t="s">
        <v>507</v>
      </c>
      <c r="W738" s="4" t="s">
        <v>1692</v>
      </c>
    </row>
    <row r="739" spans="22:23">
      <c r="V739" s="4" t="s">
        <v>507</v>
      </c>
      <c r="W739" s="4" t="s">
        <v>1693</v>
      </c>
    </row>
    <row r="740" spans="22:23">
      <c r="V740" s="4" t="s">
        <v>507</v>
      </c>
      <c r="W740" s="4" t="s">
        <v>1694</v>
      </c>
    </row>
    <row r="741" spans="22:23">
      <c r="V741" s="4" t="s">
        <v>507</v>
      </c>
      <c r="W741" s="4" t="s">
        <v>1695</v>
      </c>
    </row>
    <row r="742" spans="22:23">
      <c r="V742" s="4" t="s">
        <v>507</v>
      </c>
      <c r="W742" s="4" t="s">
        <v>1696</v>
      </c>
    </row>
    <row r="743" spans="22:23">
      <c r="V743" s="4" t="s">
        <v>507</v>
      </c>
      <c r="W743" s="4" t="s">
        <v>1697</v>
      </c>
    </row>
    <row r="744" spans="22:23">
      <c r="V744" s="4" t="s">
        <v>507</v>
      </c>
      <c r="W744" s="4" t="s">
        <v>1698</v>
      </c>
    </row>
    <row r="745" spans="22:23">
      <c r="V745" s="4" t="s">
        <v>507</v>
      </c>
      <c r="W745" s="4" t="s">
        <v>1699</v>
      </c>
    </row>
    <row r="746" spans="22:23">
      <c r="V746" s="4" t="s">
        <v>507</v>
      </c>
      <c r="W746" s="4" t="s">
        <v>1700</v>
      </c>
    </row>
    <row r="747" spans="22:23">
      <c r="V747" s="4" t="s">
        <v>507</v>
      </c>
      <c r="W747" s="4" t="s">
        <v>1701</v>
      </c>
    </row>
    <row r="748" spans="22:23">
      <c r="V748" s="4" t="s">
        <v>507</v>
      </c>
      <c r="W748" s="4" t="s">
        <v>1702</v>
      </c>
    </row>
    <row r="749" spans="22:23">
      <c r="V749" s="4" t="s">
        <v>507</v>
      </c>
      <c r="W749" s="4" t="s">
        <v>1703</v>
      </c>
    </row>
    <row r="750" spans="22:23">
      <c r="V750" s="4" t="s">
        <v>507</v>
      </c>
      <c r="W750" s="4" t="s">
        <v>1704</v>
      </c>
    </row>
    <row r="751" spans="22:23">
      <c r="V751" s="4" t="s">
        <v>507</v>
      </c>
      <c r="W751" s="4" t="s">
        <v>1705</v>
      </c>
    </row>
    <row r="752" spans="22:23">
      <c r="V752" s="4" t="s">
        <v>507</v>
      </c>
      <c r="W752" s="4" t="s">
        <v>1706</v>
      </c>
    </row>
    <row r="753" spans="22:23">
      <c r="V753" s="4" t="s">
        <v>507</v>
      </c>
      <c r="W753" s="4" t="s">
        <v>1707</v>
      </c>
    </row>
    <row r="754" spans="22:23">
      <c r="V754" s="4" t="s">
        <v>507</v>
      </c>
      <c r="W754" s="4" t="s">
        <v>1708</v>
      </c>
    </row>
    <row r="755" spans="22:23">
      <c r="V755" s="4" t="s">
        <v>507</v>
      </c>
      <c r="W755" s="4" t="s">
        <v>1709</v>
      </c>
    </row>
    <row r="756" spans="22:23">
      <c r="V756" s="4" t="s">
        <v>507</v>
      </c>
      <c r="W756" s="4" t="s">
        <v>1710</v>
      </c>
    </row>
    <row r="757" spans="22:23">
      <c r="V757" s="4" t="s">
        <v>507</v>
      </c>
      <c r="W757" s="4" t="s">
        <v>1711</v>
      </c>
    </row>
    <row r="758" spans="22:23">
      <c r="V758" s="4" t="s">
        <v>507</v>
      </c>
      <c r="W758" s="4" t="s">
        <v>1712</v>
      </c>
    </row>
    <row r="759" spans="22:23">
      <c r="V759" s="4" t="s">
        <v>507</v>
      </c>
      <c r="W759" s="4" t="s">
        <v>1713</v>
      </c>
    </row>
    <row r="760" spans="22:23">
      <c r="V760" s="4" t="s">
        <v>507</v>
      </c>
      <c r="W760" s="4" t="s">
        <v>1714</v>
      </c>
    </row>
    <row r="761" spans="22:23">
      <c r="V761" s="4" t="s">
        <v>514</v>
      </c>
      <c r="W761" s="4" t="s">
        <v>1346</v>
      </c>
    </row>
    <row r="762" spans="22:23">
      <c r="V762" s="4" t="s">
        <v>514</v>
      </c>
      <c r="W762" s="4" t="s">
        <v>1715</v>
      </c>
    </row>
    <row r="763" spans="22:23">
      <c r="V763" s="4" t="s">
        <v>514</v>
      </c>
      <c r="W763" s="4" t="s">
        <v>1716</v>
      </c>
    </row>
    <row r="764" spans="22:23">
      <c r="V764" s="4" t="s">
        <v>514</v>
      </c>
      <c r="W764" s="4" t="s">
        <v>1717</v>
      </c>
    </row>
    <row r="765" spans="22:23">
      <c r="V765" s="4" t="s">
        <v>514</v>
      </c>
      <c r="W765" s="4" t="s">
        <v>1718</v>
      </c>
    </row>
    <row r="766" spans="22:23">
      <c r="V766" s="4" t="s">
        <v>514</v>
      </c>
      <c r="W766" s="4" t="s">
        <v>1719</v>
      </c>
    </row>
    <row r="767" spans="22:23">
      <c r="V767" s="4" t="s">
        <v>514</v>
      </c>
      <c r="W767" s="4" t="s">
        <v>1720</v>
      </c>
    </row>
    <row r="768" spans="22:23">
      <c r="V768" s="4" t="s">
        <v>514</v>
      </c>
      <c r="W768" s="4" t="s">
        <v>1721</v>
      </c>
    </row>
    <row r="769" spans="22:23">
      <c r="V769" s="4" t="s">
        <v>514</v>
      </c>
      <c r="W769" s="4" t="s">
        <v>1722</v>
      </c>
    </row>
    <row r="770" spans="22:23">
      <c r="V770" s="4" t="s">
        <v>514</v>
      </c>
      <c r="W770" s="4" t="s">
        <v>1723</v>
      </c>
    </row>
    <row r="771" spans="22:23">
      <c r="V771" s="4" t="s">
        <v>514</v>
      </c>
      <c r="W771" s="4" t="s">
        <v>1724</v>
      </c>
    </row>
    <row r="772" spans="22:23">
      <c r="V772" s="4" t="s">
        <v>514</v>
      </c>
      <c r="W772" s="4" t="s">
        <v>1725</v>
      </c>
    </row>
    <row r="773" spans="22:23">
      <c r="V773" s="4" t="s">
        <v>514</v>
      </c>
      <c r="W773" s="4" t="s">
        <v>1726</v>
      </c>
    </row>
    <row r="774" spans="22:23">
      <c r="V774" s="4" t="s">
        <v>514</v>
      </c>
      <c r="W774" s="4" t="s">
        <v>1727</v>
      </c>
    </row>
    <row r="775" spans="22:23">
      <c r="V775" s="4" t="s">
        <v>514</v>
      </c>
      <c r="W775" s="4" t="s">
        <v>1345</v>
      </c>
    </row>
    <row r="776" spans="22:23">
      <c r="V776" s="4" t="s">
        <v>521</v>
      </c>
      <c r="W776" s="4" t="s">
        <v>1348</v>
      </c>
    </row>
    <row r="777" spans="22:23">
      <c r="V777" s="4" t="s">
        <v>521</v>
      </c>
      <c r="W777" s="4" t="s">
        <v>1728</v>
      </c>
    </row>
    <row r="778" spans="22:23">
      <c r="V778" s="4" t="s">
        <v>521</v>
      </c>
      <c r="W778" s="4" t="s">
        <v>1729</v>
      </c>
    </row>
    <row r="779" spans="22:23">
      <c r="V779" s="4" t="s">
        <v>521</v>
      </c>
      <c r="W779" s="4" t="s">
        <v>1730</v>
      </c>
    </row>
    <row r="780" spans="22:23">
      <c r="V780" s="4" t="s">
        <v>521</v>
      </c>
      <c r="W780" s="4" t="s">
        <v>1731</v>
      </c>
    </row>
    <row r="781" spans="22:23">
      <c r="V781" s="4" t="s">
        <v>521</v>
      </c>
      <c r="W781" s="4" t="s">
        <v>1732</v>
      </c>
    </row>
    <row r="782" spans="22:23">
      <c r="V782" s="4" t="s">
        <v>521</v>
      </c>
      <c r="W782" s="4" t="s">
        <v>1733</v>
      </c>
    </row>
    <row r="783" spans="22:23">
      <c r="V783" s="4" t="s">
        <v>521</v>
      </c>
      <c r="W783" s="4" t="s">
        <v>1734</v>
      </c>
    </row>
    <row r="784" spans="22:23">
      <c r="V784" s="4" t="s">
        <v>521</v>
      </c>
      <c r="W784" s="4" t="s">
        <v>1735</v>
      </c>
    </row>
    <row r="785" spans="22:23">
      <c r="V785" s="4" t="s">
        <v>521</v>
      </c>
      <c r="W785" s="4" t="s">
        <v>1736</v>
      </c>
    </row>
    <row r="786" spans="22:23">
      <c r="V786" s="4" t="s">
        <v>521</v>
      </c>
      <c r="W786" s="4" t="s">
        <v>1737</v>
      </c>
    </row>
    <row r="787" spans="22:23">
      <c r="V787" s="4" t="s">
        <v>521</v>
      </c>
      <c r="W787" s="4" t="s">
        <v>1738</v>
      </c>
    </row>
    <row r="788" spans="22:23">
      <c r="V788" s="4" t="s">
        <v>521</v>
      </c>
      <c r="W788" s="4" t="s">
        <v>1739</v>
      </c>
    </row>
    <row r="789" spans="22:23">
      <c r="V789" s="4" t="s">
        <v>521</v>
      </c>
      <c r="W789" s="4" t="s">
        <v>1350</v>
      </c>
    </row>
    <row r="790" spans="22:23">
      <c r="V790" s="4" t="s">
        <v>521</v>
      </c>
      <c r="W790" s="4" t="s">
        <v>1740</v>
      </c>
    </row>
    <row r="791" spans="22:23">
      <c r="V791" s="4" t="s">
        <v>521</v>
      </c>
      <c r="W791" s="4" t="s">
        <v>1741</v>
      </c>
    </row>
    <row r="792" spans="22:23">
      <c r="V792" s="4" t="s">
        <v>521</v>
      </c>
      <c r="W792" s="4" t="s">
        <v>1742</v>
      </c>
    </row>
    <row r="793" spans="22:23">
      <c r="V793" s="4" t="s">
        <v>521</v>
      </c>
      <c r="W793" s="4" t="s">
        <v>1743</v>
      </c>
    </row>
    <row r="794" spans="22:23">
      <c r="V794" s="4" t="s">
        <v>521</v>
      </c>
      <c r="W794" s="4" t="s">
        <v>1744</v>
      </c>
    </row>
    <row r="795" spans="22:23">
      <c r="V795" s="4" t="s">
        <v>530</v>
      </c>
      <c r="W795" s="4" t="s">
        <v>1352</v>
      </c>
    </row>
    <row r="796" spans="22:23">
      <c r="V796" s="4" t="s">
        <v>530</v>
      </c>
      <c r="W796" s="4" t="s">
        <v>1745</v>
      </c>
    </row>
    <row r="797" spans="22:23">
      <c r="V797" s="4" t="s">
        <v>530</v>
      </c>
      <c r="W797" s="4" t="s">
        <v>1746</v>
      </c>
    </row>
    <row r="798" spans="22:23">
      <c r="V798" s="4" t="s">
        <v>530</v>
      </c>
      <c r="W798" s="4" t="s">
        <v>1747</v>
      </c>
    </row>
    <row r="799" spans="22:23">
      <c r="V799" s="4" t="s">
        <v>530</v>
      </c>
      <c r="W799" s="4" t="s">
        <v>1748</v>
      </c>
    </row>
    <row r="800" spans="22:23">
      <c r="V800" s="4" t="s">
        <v>530</v>
      </c>
      <c r="W800" s="4" t="s">
        <v>1749</v>
      </c>
    </row>
    <row r="801" spans="22:23">
      <c r="V801" s="4" t="s">
        <v>530</v>
      </c>
      <c r="W801" s="4" t="s">
        <v>1750</v>
      </c>
    </row>
    <row r="802" spans="22:23">
      <c r="V802" s="4" t="s">
        <v>530</v>
      </c>
      <c r="W802" s="4" t="s">
        <v>1751</v>
      </c>
    </row>
    <row r="803" spans="22:23">
      <c r="V803" s="4" t="s">
        <v>530</v>
      </c>
      <c r="W803" s="4" t="s">
        <v>1752</v>
      </c>
    </row>
    <row r="804" spans="22:23">
      <c r="V804" s="4" t="s">
        <v>530</v>
      </c>
      <c r="W804" s="4" t="s">
        <v>1753</v>
      </c>
    </row>
    <row r="805" spans="22:23">
      <c r="V805" s="4" t="s">
        <v>530</v>
      </c>
      <c r="W805" s="4" t="s">
        <v>999</v>
      </c>
    </row>
    <row r="806" spans="22:23">
      <c r="V806" s="4" t="s">
        <v>530</v>
      </c>
      <c r="W806" s="4" t="s">
        <v>1754</v>
      </c>
    </row>
    <row r="807" spans="22:23">
      <c r="V807" s="4" t="s">
        <v>530</v>
      </c>
      <c r="W807" s="4" t="s">
        <v>1755</v>
      </c>
    </row>
    <row r="808" spans="22:23">
      <c r="V808" s="4" t="s">
        <v>530</v>
      </c>
      <c r="W808" s="4" t="s">
        <v>1756</v>
      </c>
    </row>
    <row r="809" spans="22:23">
      <c r="V809" s="4" t="s">
        <v>530</v>
      </c>
      <c r="W809" s="4" t="s">
        <v>1757</v>
      </c>
    </row>
    <row r="810" spans="22:23">
      <c r="V810" s="4" t="s">
        <v>530</v>
      </c>
      <c r="W810" s="4" t="s">
        <v>1758</v>
      </c>
    </row>
    <row r="811" spans="22:23">
      <c r="V811" s="4" t="s">
        <v>530</v>
      </c>
      <c r="W811" s="4" t="s">
        <v>1759</v>
      </c>
    </row>
    <row r="812" spans="22:23">
      <c r="V812" s="4" t="s">
        <v>539</v>
      </c>
      <c r="W812" s="4" t="s">
        <v>1354</v>
      </c>
    </row>
    <row r="813" spans="22:23">
      <c r="V813" s="4" t="s">
        <v>539</v>
      </c>
      <c r="W813" s="4" t="s">
        <v>1760</v>
      </c>
    </row>
    <row r="814" spans="22:23">
      <c r="V814" s="4" t="s">
        <v>539</v>
      </c>
      <c r="W814" s="4" t="s">
        <v>1761</v>
      </c>
    </row>
    <row r="815" spans="22:23">
      <c r="V815" s="4" t="s">
        <v>539</v>
      </c>
      <c r="W815" s="4" t="s">
        <v>1762</v>
      </c>
    </row>
    <row r="816" spans="22:23">
      <c r="V816" s="4" t="s">
        <v>539</v>
      </c>
      <c r="W816" s="4" t="s">
        <v>1763</v>
      </c>
    </row>
    <row r="817" spans="22:23">
      <c r="V817" s="4" t="s">
        <v>539</v>
      </c>
      <c r="W817" s="4" t="s">
        <v>1764</v>
      </c>
    </row>
    <row r="818" spans="22:23">
      <c r="V818" s="4" t="s">
        <v>539</v>
      </c>
      <c r="W818" s="4" t="s">
        <v>1765</v>
      </c>
    </row>
    <row r="819" spans="22:23">
      <c r="V819" s="4" t="s">
        <v>539</v>
      </c>
      <c r="W819" s="4" t="s">
        <v>1766</v>
      </c>
    </row>
    <row r="820" spans="22:23">
      <c r="V820" s="4" t="s">
        <v>539</v>
      </c>
      <c r="W820" s="4" t="s">
        <v>1767</v>
      </c>
    </row>
    <row r="821" spans="22:23">
      <c r="V821" s="4" t="s">
        <v>539</v>
      </c>
      <c r="W821" s="4" t="s">
        <v>1768</v>
      </c>
    </row>
    <row r="822" spans="22:23">
      <c r="V822" s="4" t="s">
        <v>539</v>
      </c>
      <c r="W822" s="4" t="s">
        <v>1769</v>
      </c>
    </row>
    <row r="823" spans="22:23">
      <c r="V823" s="4" t="s">
        <v>539</v>
      </c>
      <c r="W823" s="4" t="s">
        <v>1770</v>
      </c>
    </row>
    <row r="824" spans="22:23">
      <c r="V824" s="4" t="s">
        <v>539</v>
      </c>
      <c r="W824" s="4" t="s">
        <v>1771</v>
      </c>
    </row>
    <row r="825" spans="22:23">
      <c r="V825" s="4" t="s">
        <v>539</v>
      </c>
      <c r="W825" s="4" t="s">
        <v>1772</v>
      </c>
    </row>
    <row r="826" spans="22:23">
      <c r="V826" s="4" t="s">
        <v>539</v>
      </c>
      <c r="W826" s="4" t="s">
        <v>1773</v>
      </c>
    </row>
    <row r="827" spans="22:23">
      <c r="V827" s="4" t="s">
        <v>539</v>
      </c>
      <c r="W827" s="4" t="s">
        <v>1774</v>
      </c>
    </row>
    <row r="828" spans="22:23">
      <c r="V828" s="4" t="s">
        <v>539</v>
      </c>
      <c r="W828" s="4" t="s">
        <v>1119</v>
      </c>
    </row>
    <row r="829" spans="22:23">
      <c r="V829" s="4" t="s">
        <v>539</v>
      </c>
      <c r="W829" s="4" t="s">
        <v>1775</v>
      </c>
    </row>
    <row r="830" spans="22:23">
      <c r="V830" s="4" t="s">
        <v>539</v>
      </c>
      <c r="W830" s="4" t="s">
        <v>1776</v>
      </c>
    </row>
    <row r="831" spans="22:23">
      <c r="V831" s="4" t="s">
        <v>539</v>
      </c>
      <c r="W831" s="4" t="s">
        <v>1777</v>
      </c>
    </row>
    <row r="832" spans="22:23">
      <c r="V832" s="4" t="s">
        <v>539</v>
      </c>
      <c r="W832" s="4" t="s">
        <v>1778</v>
      </c>
    </row>
    <row r="833" spans="22:23">
      <c r="V833" s="4" t="s">
        <v>539</v>
      </c>
      <c r="W833" s="4" t="s">
        <v>1779</v>
      </c>
    </row>
    <row r="834" spans="22:23">
      <c r="V834" s="4" t="s">
        <v>539</v>
      </c>
      <c r="W834" s="4" t="s">
        <v>1780</v>
      </c>
    </row>
    <row r="835" spans="22:23">
      <c r="V835" s="4" t="s">
        <v>539</v>
      </c>
      <c r="W835" s="4" t="s">
        <v>1781</v>
      </c>
    </row>
    <row r="836" spans="22:23">
      <c r="V836" s="4" t="s">
        <v>539</v>
      </c>
      <c r="W836" s="4" t="s">
        <v>1782</v>
      </c>
    </row>
    <row r="837" spans="22:23">
      <c r="V837" s="4" t="s">
        <v>539</v>
      </c>
      <c r="W837" s="4" t="s">
        <v>1783</v>
      </c>
    </row>
    <row r="838" spans="22:23">
      <c r="V838" s="4" t="s">
        <v>539</v>
      </c>
      <c r="W838" s="4" t="s">
        <v>1784</v>
      </c>
    </row>
    <row r="839" spans="22:23">
      <c r="V839" s="4" t="s">
        <v>547</v>
      </c>
      <c r="W839" s="4" t="s">
        <v>1360</v>
      </c>
    </row>
    <row r="840" spans="22:23">
      <c r="V840" s="4" t="s">
        <v>547</v>
      </c>
      <c r="W840" s="4" t="s">
        <v>1362</v>
      </c>
    </row>
    <row r="841" spans="22:23">
      <c r="V841" s="4" t="s">
        <v>547</v>
      </c>
      <c r="W841" s="4" t="s">
        <v>1785</v>
      </c>
    </row>
    <row r="842" spans="22:23">
      <c r="V842" s="4" t="s">
        <v>547</v>
      </c>
      <c r="W842" s="4" t="s">
        <v>1786</v>
      </c>
    </row>
    <row r="843" spans="22:23">
      <c r="V843" s="4" t="s">
        <v>547</v>
      </c>
      <c r="W843" s="4" t="s">
        <v>1787</v>
      </c>
    </row>
    <row r="844" spans="22:23">
      <c r="V844" s="4" t="s">
        <v>547</v>
      </c>
      <c r="W844" s="4" t="s">
        <v>1788</v>
      </c>
    </row>
    <row r="845" spans="22:23">
      <c r="V845" s="4" t="s">
        <v>547</v>
      </c>
      <c r="W845" s="4" t="s">
        <v>1789</v>
      </c>
    </row>
    <row r="846" spans="22:23">
      <c r="V846" s="4" t="s">
        <v>547</v>
      </c>
      <c r="W846" s="4" t="s">
        <v>1790</v>
      </c>
    </row>
    <row r="847" spans="22:23">
      <c r="V847" s="4" t="s">
        <v>547</v>
      </c>
      <c r="W847" s="4" t="s">
        <v>1791</v>
      </c>
    </row>
    <row r="848" spans="22:23">
      <c r="V848" s="4" t="s">
        <v>547</v>
      </c>
      <c r="W848" s="4" t="s">
        <v>1792</v>
      </c>
    </row>
    <row r="849" spans="22:23">
      <c r="V849" s="4" t="s">
        <v>547</v>
      </c>
      <c r="W849" s="4" t="s">
        <v>1793</v>
      </c>
    </row>
    <row r="850" spans="22:23">
      <c r="V850" s="4" t="s">
        <v>547</v>
      </c>
      <c r="W850" s="4" t="s">
        <v>1794</v>
      </c>
    </row>
    <row r="851" spans="22:23">
      <c r="V851" s="4" t="s">
        <v>547</v>
      </c>
      <c r="W851" s="4" t="s">
        <v>1795</v>
      </c>
    </row>
    <row r="852" spans="22:23">
      <c r="V852" s="4" t="s">
        <v>547</v>
      </c>
      <c r="W852" s="4" t="s">
        <v>1796</v>
      </c>
    </row>
    <row r="853" spans="22:23">
      <c r="V853" s="4" t="s">
        <v>547</v>
      </c>
      <c r="W853" s="4" t="s">
        <v>1364</v>
      </c>
    </row>
    <row r="854" spans="22:23">
      <c r="V854" s="4" t="s">
        <v>547</v>
      </c>
      <c r="W854" s="4" t="s">
        <v>1797</v>
      </c>
    </row>
    <row r="855" spans="22:23">
      <c r="V855" s="4" t="s">
        <v>547</v>
      </c>
      <c r="W855" s="4" t="s">
        <v>1798</v>
      </c>
    </row>
    <row r="856" spans="22:23">
      <c r="V856" s="4" t="s">
        <v>547</v>
      </c>
      <c r="W856" s="4" t="s">
        <v>1799</v>
      </c>
    </row>
    <row r="857" spans="22:23">
      <c r="V857" s="4" t="s">
        <v>547</v>
      </c>
      <c r="W857" s="4" t="s">
        <v>1800</v>
      </c>
    </row>
    <row r="858" spans="22:23">
      <c r="V858" s="4" t="s">
        <v>547</v>
      </c>
      <c r="W858" s="4" t="s">
        <v>1801</v>
      </c>
    </row>
    <row r="859" spans="22:23">
      <c r="V859" s="4" t="s">
        <v>547</v>
      </c>
      <c r="W859" s="4" t="s">
        <v>1802</v>
      </c>
    </row>
    <row r="860" spans="22:23">
      <c r="V860" s="4" t="s">
        <v>547</v>
      </c>
      <c r="W860" s="4" t="s">
        <v>1579</v>
      </c>
    </row>
    <row r="861" spans="22:23">
      <c r="V861" s="4" t="s">
        <v>547</v>
      </c>
      <c r="W861" s="4" t="s">
        <v>1803</v>
      </c>
    </row>
    <row r="862" spans="22:23">
      <c r="V862" s="4" t="s">
        <v>547</v>
      </c>
      <c r="W862" s="4" t="s">
        <v>1804</v>
      </c>
    </row>
    <row r="863" spans="22:23">
      <c r="V863" s="4" t="s">
        <v>547</v>
      </c>
      <c r="W863" s="4" t="s">
        <v>1805</v>
      </c>
    </row>
    <row r="864" spans="22:23">
      <c r="V864" s="4" t="s">
        <v>547</v>
      </c>
      <c r="W864" s="4" t="s">
        <v>1806</v>
      </c>
    </row>
    <row r="865" spans="22:23">
      <c r="V865" s="4" t="s">
        <v>547</v>
      </c>
      <c r="W865" s="4" t="s">
        <v>1807</v>
      </c>
    </row>
    <row r="866" spans="22:23">
      <c r="V866" s="4" t="s">
        <v>547</v>
      </c>
      <c r="W866" s="4" t="s">
        <v>1808</v>
      </c>
    </row>
    <row r="867" spans="22:23">
      <c r="V867" s="4" t="s">
        <v>547</v>
      </c>
      <c r="W867" s="4" t="s">
        <v>1809</v>
      </c>
    </row>
    <row r="868" spans="22:23">
      <c r="V868" s="4" t="s">
        <v>547</v>
      </c>
      <c r="W868" s="4" t="s">
        <v>1810</v>
      </c>
    </row>
    <row r="869" spans="22:23">
      <c r="V869" s="4" t="s">
        <v>547</v>
      </c>
      <c r="W869" s="4" t="s">
        <v>1811</v>
      </c>
    </row>
    <row r="870" spans="22:23">
      <c r="V870" s="4" t="s">
        <v>547</v>
      </c>
      <c r="W870" s="4" t="s">
        <v>1812</v>
      </c>
    </row>
    <row r="871" spans="22:23">
      <c r="V871" s="4" t="s">
        <v>547</v>
      </c>
      <c r="W871" s="4" t="s">
        <v>1813</v>
      </c>
    </row>
    <row r="872" spans="22:23">
      <c r="V872" s="4" t="s">
        <v>547</v>
      </c>
      <c r="W872" s="4" t="s">
        <v>1814</v>
      </c>
    </row>
    <row r="873" spans="22:23">
      <c r="V873" s="4" t="s">
        <v>547</v>
      </c>
      <c r="W873" s="4" t="s">
        <v>1815</v>
      </c>
    </row>
    <row r="874" spans="22:23">
      <c r="V874" s="4" t="s">
        <v>547</v>
      </c>
      <c r="W874" s="4" t="s">
        <v>1816</v>
      </c>
    </row>
    <row r="875" spans="22:23">
      <c r="V875" s="4" t="s">
        <v>547</v>
      </c>
      <c r="W875" s="4" t="s">
        <v>1817</v>
      </c>
    </row>
    <row r="876" spans="22:23">
      <c r="V876" s="4" t="s">
        <v>547</v>
      </c>
      <c r="W876" s="4" t="s">
        <v>1818</v>
      </c>
    </row>
    <row r="877" spans="22:23">
      <c r="V877" s="4" t="s">
        <v>547</v>
      </c>
      <c r="W877" s="4" t="s">
        <v>1819</v>
      </c>
    </row>
    <row r="878" spans="22:23">
      <c r="V878" s="4" t="s">
        <v>547</v>
      </c>
      <c r="W878" s="4" t="s">
        <v>1820</v>
      </c>
    </row>
    <row r="879" spans="22:23">
      <c r="V879" s="4" t="s">
        <v>547</v>
      </c>
      <c r="W879" s="4" t="s">
        <v>1821</v>
      </c>
    </row>
    <row r="880" spans="22:23">
      <c r="V880" s="4" t="s">
        <v>547</v>
      </c>
      <c r="W880" s="4" t="s">
        <v>1822</v>
      </c>
    </row>
    <row r="881" spans="22:23">
      <c r="V881" s="4" t="s">
        <v>547</v>
      </c>
      <c r="W881" s="4" t="s">
        <v>1823</v>
      </c>
    </row>
    <row r="882" spans="22:23">
      <c r="V882" s="4" t="s">
        <v>547</v>
      </c>
      <c r="W882" s="4" t="s">
        <v>1824</v>
      </c>
    </row>
    <row r="883" spans="22:23">
      <c r="V883" s="4" t="s">
        <v>547</v>
      </c>
      <c r="W883" s="4" t="s">
        <v>1825</v>
      </c>
    </row>
    <row r="884" spans="22:23">
      <c r="V884" s="4" t="s">
        <v>547</v>
      </c>
      <c r="W884" s="4" t="s">
        <v>1826</v>
      </c>
    </row>
    <row r="885" spans="22:23">
      <c r="V885" s="4" t="s">
        <v>547</v>
      </c>
      <c r="W885" s="4" t="s">
        <v>1827</v>
      </c>
    </row>
    <row r="886" spans="22:23">
      <c r="V886" s="4" t="s">
        <v>547</v>
      </c>
      <c r="W886" s="4" t="s">
        <v>1828</v>
      </c>
    </row>
    <row r="887" spans="22:23">
      <c r="V887" s="4" t="s">
        <v>547</v>
      </c>
      <c r="W887" s="4" t="s">
        <v>1829</v>
      </c>
    </row>
    <row r="888" spans="22:23">
      <c r="V888" s="4" t="s">
        <v>547</v>
      </c>
      <c r="W888" s="4" t="s">
        <v>1830</v>
      </c>
    </row>
    <row r="889" spans="22:23">
      <c r="V889" s="4" t="s">
        <v>547</v>
      </c>
      <c r="W889" s="4" t="s">
        <v>1831</v>
      </c>
    </row>
    <row r="890" spans="22:23">
      <c r="V890" s="4" t="s">
        <v>547</v>
      </c>
      <c r="W890" s="4" t="s">
        <v>1832</v>
      </c>
    </row>
    <row r="891" spans="22:23">
      <c r="V891" s="4" t="s">
        <v>547</v>
      </c>
      <c r="W891" s="4" t="s">
        <v>1833</v>
      </c>
    </row>
    <row r="892" spans="22:23">
      <c r="V892" s="4" t="s">
        <v>547</v>
      </c>
      <c r="W892" s="4" t="s">
        <v>1834</v>
      </c>
    </row>
    <row r="893" spans="22:23">
      <c r="V893" s="4" t="s">
        <v>547</v>
      </c>
      <c r="W893" s="4" t="s">
        <v>1835</v>
      </c>
    </row>
    <row r="894" spans="22:23">
      <c r="V894" s="4" t="s">
        <v>547</v>
      </c>
      <c r="W894" s="4" t="s">
        <v>1836</v>
      </c>
    </row>
    <row r="895" spans="22:23">
      <c r="V895" s="4" t="s">
        <v>547</v>
      </c>
      <c r="W895" s="4" t="s">
        <v>1837</v>
      </c>
    </row>
    <row r="896" spans="22:23">
      <c r="V896" s="4" t="s">
        <v>547</v>
      </c>
      <c r="W896" s="4" t="s">
        <v>1838</v>
      </c>
    </row>
    <row r="897" spans="22:23">
      <c r="V897" s="4" t="s">
        <v>547</v>
      </c>
      <c r="W897" s="4" t="s">
        <v>1839</v>
      </c>
    </row>
    <row r="898" spans="22:23">
      <c r="V898" s="4" t="s">
        <v>547</v>
      </c>
      <c r="W898" s="4" t="s">
        <v>1840</v>
      </c>
    </row>
    <row r="899" spans="22:23">
      <c r="V899" s="4" t="s">
        <v>547</v>
      </c>
      <c r="W899" s="4" t="s">
        <v>1841</v>
      </c>
    </row>
    <row r="900" spans="22:23">
      <c r="V900" s="4" t="s">
        <v>547</v>
      </c>
      <c r="W900" s="4" t="s">
        <v>1842</v>
      </c>
    </row>
    <row r="901" spans="22:23">
      <c r="V901" s="4" t="s">
        <v>547</v>
      </c>
      <c r="W901" s="4" t="s">
        <v>1843</v>
      </c>
    </row>
    <row r="902" spans="22:23">
      <c r="V902" s="4" t="s">
        <v>547</v>
      </c>
      <c r="W902" s="4" t="s">
        <v>999</v>
      </c>
    </row>
    <row r="903" spans="22:23">
      <c r="V903" s="4" t="s">
        <v>547</v>
      </c>
      <c r="W903" s="4" t="s">
        <v>1844</v>
      </c>
    </row>
    <row r="904" spans="22:23">
      <c r="V904" s="4" t="s">
        <v>547</v>
      </c>
      <c r="W904" s="4" t="s">
        <v>1845</v>
      </c>
    </row>
    <row r="905" spans="22:23">
      <c r="V905" s="4" t="s">
        <v>547</v>
      </c>
      <c r="W905" s="4" t="s">
        <v>1846</v>
      </c>
    </row>
    <row r="906" spans="22:23">
      <c r="V906" s="4" t="s">
        <v>547</v>
      </c>
      <c r="W906" s="4" t="s">
        <v>1847</v>
      </c>
    </row>
    <row r="907" spans="22:23">
      <c r="V907" s="4" t="s">
        <v>547</v>
      </c>
      <c r="W907" s="4" t="s">
        <v>1848</v>
      </c>
    </row>
    <row r="908" spans="22:23">
      <c r="V908" s="4" t="s">
        <v>547</v>
      </c>
      <c r="W908" s="4" t="s">
        <v>1585</v>
      </c>
    </row>
    <row r="909" spans="22:23">
      <c r="V909" s="4" t="s">
        <v>547</v>
      </c>
      <c r="W909" s="4" t="s">
        <v>1849</v>
      </c>
    </row>
    <row r="910" spans="22:23">
      <c r="V910" s="4" t="s">
        <v>547</v>
      </c>
      <c r="W910" s="4" t="s">
        <v>1850</v>
      </c>
    </row>
    <row r="911" spans="22:23">
      <c r="V911" s="4" t="s">
        <v>547</v>
      </c>
      <c r="W911" s="4" t="s">
        <v>1851</v>
      </c>
    </row>
    <row r="912" spans="22:23">
      <c r="V912" s="4" t="s">
        <v>547</v>
      </c>
      <c r="W912" s="4" t="s">
        <v>1852</v>
      </c>
    </row>
    <row r="913" spans="22:23">
      <c r="V913" s="4" t="s">
        <v>547</v>
      </c>
      <c r="W913" s="4" t="s">
        <v>1853</v>
      </c>
    </row>
    <row r="914" spans="22:23">
      <c r="V914" s="4" t="s">
        <v>547</v>
      </c>
      <c r="W914" s="4" t="s">
        <v>1854</v>
      </c>
    </row>
    <row r="915" spans="22:23">
      <c r="V915" s="4" t="s">
        <v>547</v>
      </c>
      <c r="W915" s="4" t="s">
        <v>1855</v>
      </c>
    </row>
    <row r="916" spans="22:23">
      <c r="V916" s="4" t="s">
        <v>556</v>
      </c>
      <c r="W916" s="4" t="s">
        <v>1074</v>
      </c>
    </row>
    <row r="917" spans="22:23">
      <c r="V917" s="4" t="s">
        <v>556</v>
      </c>
      <c r="W917" s="4" t="s">
        <v>1366</v>
      </c>
    </row>
    <row r="918" spans="22:23">
      <c r="V918" s="4" t="s">
        <v>556</v>
      </c>
      <c r="W918" s="4" t="s">
        <v>1856</v>
      </c>
    </row>
    <row r="919" spans="22:23">
      <c r="V919" s="4" t="s">
        <v>556</v>
      </c>
      <c r="W919" s="4" t="s">
        <v>1368</v>
      </c>
    </row>
    <row r="920" spans="22:23">
      <c r="V920" s="4" t="s">
        <v>556</v>
      </c>
      <c r="W920" s="4" t="s">
        <v>1857</v>
      </c>
    </row>
    <row r="921" spans="22:23">
      <c r="V921" s="4" t="s">
        <v>556</v>
      </c>
      <c r="W921" s="4" t="s">
        <v>1858</v>
      </c>
    </row>
    <row r="922" spans="22:23">
      <c r="V922" s="4" t="s">
        <v>556</v>
      </c>
      <c r="W922" s="4" t="s">
        <v>1859</v>
      </c>
    </row>
    <row r="923" spans="22:23">
      <c r="V923" s="4" t="s">
        <v>556</v>
      </c>
      <c r="W923" s="4" t="s">
        <v>1860</v>
      </c>
    </row>
    <row r="924" spans="22:23">
      <c r="V924" s="4" t="s">
        <v>556</v>
      </c>
      <c r="W924" s="4" t="s">
        <v>1861</v>
      </c>
    </row>
    <row r="925" spans="22:23">
      <c r="V925" s="4" t="s">
        <v>556</v>
      </c>
      <c r="W925" s="4" t="s">
        <v>1862</v>
      </c>
    </row>
    <row r="926" spans="22:23">
      <c r="V926" s="4" t="s">
        <v>556</v>
      </c>
      <c r="W926" s="4" t="s">
        <v>1863</v>
      </c>
    </row>
    <row r="927" spans="22:23">
      <c r="V927" s="4" t="s">
        <v>556</v>
      </c>
      <c r="W927" s="4" t="s">
        <v>1864</v>
      </c>
    </row>
    <row r="928" spans="22:23">
      <c r="V928" s="4" t="s">
        <v>556</v>
      </c>
      <c r="W928" s="4" t="s">
        <v>1372</v>
      </c>
    </row>
    <row r="929" spans="22:23">
      <c r="V929" s="4" t="s">
        <v>556</v>
      </c>
      <c r="W929" s="4" t="s">
        <v>1374</v>
      </c>
    </row>
    <row r="930" spans="22:23">
      <c r="V930" s="4" t="s">
        <v>556</v>
      </c>
      <c r="W930" s="4" t="s">
        <v>1865</v>
      </c>
    </row>
    <row r="931" spans="22:23">
      <c r="V931" s="4" t="s">
        <v>556</v>
      </c>
      <c r="W931" s="4" t="s">
        <v>1866</v>
      </c>
    </row>
    <row r="932" spans="22:23">
      <c r="V932" s="4" t="s">
        <v>556</v>
      </c>
      <c r="W932" s="4" t="s">
        <v>1867</v>
      </c>
    </row>
    <row r="933" spans="22:23">
      <c r="V933" s="4" t="s">
        <v>556</v>
      </c>
      <c r="W933" s="4" t="s">
        <v>1868</v>
      </c>
    </row>
    <row r="934" spans="22:23">
      <c r="V934" s="4" t="s">
        <v>556</v>
      </c>
      <c r="W934" s="4" t="s">
        <v>1869</v>
      </c>
    </row>
    <row r="935" spans="22:23">
      <c r="V935" s="4" t="s">
        <v>556</v>
      </c>
      <c r="W935" s="4" t="s">
        <v>1870</v>
      </c>
    </row>
    <row r="936" spans="22:23">
      <c r="V936" s="4" t="s">
        <v>556</v>
      </c>
      <c r="W936" s="4" t="s">
        <v>1871</v>
      </c>
    </row>
    <row r="937" spans="22:23">
      <c r="V937" s="4" t="s">
        <v>556</v>
      </c>
      <c r="W937" s="4" t="s">
        <v>1872</v>
      </c>
    </row>
    <row r="938" spans="22:23">
      <c r="V938" s="4" t="s">
        <v>556</v>
      </c>
      <c r="W938" s="4" t="s">
        <v>1873</v>
      </c>
    </row>
    <row r="939" spans="22:23">
      <c r="V939" s="4" t="s">
        <v>556</v>
      </c>
      <c r="W939" s="4" t="s">
        <v>1874</v>
      </c>
    </row>
    <row r="940" spans="22:23">
      <c r="V940" s="4" t="s">
        <v>556</v>
      </c>
      <c r="W940" s="4" t="s">
        <v>1875</v>
      </c>
    </row>
    <row r="941" spans="22:23">
      <c r="V941" s="4" t="s">
        <v>556</v>
      </c>
      <c r="W941" s="4" t="s">
        <v>1876</v>
      </c>
    </row>
    <row r="942" spans="22:23">
      <c r="V942" s="4" t="s">
        <v>556</v>
      </c>
      <c r="W942" s="4" t="s">
        <v>1877</v>
      </c>
    </row>
    <row r="943" spans="22:23">
      <c r="V943" s="4" t="s">
        <v>556</v>
      </c>
      <c r="W943" s="4" t="s">
        <v>1878</v>
      </c>
    </row>
    <row r="944" spans="22:23">
      <c r="V944" s="4" t="s">
        <v>556</v>
      </c>
      <c r="W944" s="4" t="s">
        <v>1879</v>
      </c>
    </row>
    <row r="945" spans="22:23">
      <c r="V945" s="4" t="s">
        <v>556</v>
      </c>
      <c r="W945" s="4" t="s">
        <v>1880</v>
      </c>
    </row>
    <row r="946" spans="22:23">
      <c r="V946" s="4" t="s">
        <v>556</v>
      </c>
      <c r="W946" s="4" t="s">
        <v>1881</v>
      </c>
    </row>
    <row r="947" spans="22:23">
      <c r="V947" s="4" t="s">
        <v>556</v>
      </c>
      <c r="W947" s="4" t="s">
        <v>999</v>
      </c>
    </row>
    <row r="948" spans="22:23">
      <c r="V948" s="4" t="s">
        <v>556</v>
      </c>
      <c r="W948" s="4" t="s">
        <v>1882</v>
      </c>
    </row>
    <row r="949" spans="22:23">
      <c r="V949" s="4" t="s">
        <v>556</v>
      </c>
      <c r="W949" s="4" t="s">
        <v>1883</v>
      </c>
    </row>
    <row r="950" spans="22:23">
      <c r="V950" s="4" t="s">
        <v>556</v>
      </c>
      <c r="W950" s="4" t="s">
        <v>1884</v>
      </c>
    </row>
    <row r="951" spans="22:23">
      <c r="V951" s="4" t="s">
        <v>556</v>
      </c>
      <c r="W951" s="4" t="s">
        <v>1885</v>
      </c>
    </row>
    <row r="952" spans="22:23">
      <c r="V952" s="4" t="s">
        <v>556</v>
      </c>
      <c r="W952" s="4" t="s">
        <v>1886</v>
      </c>
    </row>
    <row r="953" spans="22:23">
      <c r="V953" s="4" t="s">
        <v>556</v>
      </c>
      <c r="W953" s="4" t="s">
        <v>1887</v>
      </c>
    </row>
    <row r="954" spans="22:23">
      <c r="V954" s="4" t="s">
        <v>556</v>
      </c>
      <c r="W954" s="4" t="s">
        <v>1888</v>
      </c>
    </row>
    <row r="955" spans="22:23">
      <c r="V955" s="4" t="s">
        <v>556</v>
      </c>
      <c r="W955" s="4" t="s">
        <v>1889</v>
      </c>
    </row>
    <row r="956" spans="22:23">
      <c r="V956" s="4" t="s">
        <v>556</v>
      </c>
      <c r="W956" s="4" t="s">
        <v>1890</v>
      </c>
    </row>
    <row r="957" spans="22:23">
      <c r="V957" s="4" t="s">
        <v>556</v>
      </c>
      <c r="W957" s="4" t="s">
        <v>1891</v>
      </c>
    </row>
    <row r="958" spans="22:23">
      <c r="V958" s="4" t="s">
        <v>563</v>
      </c>
      <c r="W958" s="4" t="s">
        <v>1076</v>
      </c>
    </row>
    <row r="959" spans="22:23">
      <c r="V959" s="4" t="s">
        <v>563</v>
      </c>
      <c r="W959" s="4" t="s">
        <v>1376</v>
      </c>
    </row>
    <row r="960" spans="22:23">
      <c r="V960" s="4" t="s">
        <v>563</v>
      </c>
      <c r="W960" s="4" t="s">
        <v>1378</v>
      </c>
    </row>
    <row r="961" spans="22:23">
      <c r="V961" s="4" t="s">
        <v>563</v>
      </c>
      <c r="W961" s="4" t="s">
        <v>1892</v>
      </c>
    </row>
    <row r="962" spans="22:23">
      <c r="V962" s="4" t="s">
        <v>563</v>
      </c>
      <c r="W962" s="4" t="s">
        <v>1380</v>
      </c>
    </row>
    <row r="963" spans="22:23">
      <c r="V963" s="4" t="s">
        <v>563</v>
      </c>
      <c r="W963" s="4" t="s">
        <v>1382</v>
      </c>
    </row>
    <row r="964" spans="22:23">
      <c r="V964" s="4" t="s">
        <v>563</v>
      </c>
      <c r="W964" s="4" t="s">
        <v>1893</v>
      </c>
    </row>
    <row r="965" spans="22:23">
      <c r="V965" s="4" t="s">
        <v>563</v>
      </c>
      <c r="W965" s="4" t="s">
        <v>1384</v>
      </c>
    </row>
    <row r="966" spans="22:23">
      <c r="V966" s="4" t="s">
        <v>563</v>
      </c>
      <c r="W966" s="4" t="s">
        <v>1386</v>
      </c>
    </row>
    <row r="967" spans="22:23">
      <c r="V967" s="4" t="s">
        <v>563</v>
      </c>
      <c r="W967" s="4" t="s">
        <v>1388</v>
      </c>
    </row>
    <row r="968" spans="22:23">
      <c r="V968" s="4" t="s">
        <v>563</v>
      </c>
      <c r="W968" s="4" t="s">
        <v>1390</v>
      </c>
    </row>
    <row r="969" spans="22:23">
      <c r="V969" s="4" t="s">
        <v>563</v>
      </c>
      <c r="W969" s="4" t="s">
        <v>1392</v>
      </c>
    </row>
    <row r="970" spans="22:23">
      <c r="V970" s="4" t="s">
        <v>563</v>
      </c>
      <c r="W970" s="4" t="s">
        <v>1394</v>
      </c>
    </row>
    <row r="971" spans="22:23">
      <c r="V971" s="4" t="s">
        <v>563</v>
      </c>
      <c r="W971" s="4" t="s">
        <v>1396</v>
      </c>
    </row>
    <row r="972" spans="22:23">
      <c r="V972" s="4" t="s">
        <v>563</v>
      </c>
      <c r="W972" s="4" t="s">
        <v>1398</v>
      </c>
    </row>
    <row r="973" spans="22:23">
      <c r="V973" s="4" t="s">
        <v>563</v>
      </c>
      <c r="W973" s="4" t="s">
        <v>1894</v>
      </c>
    </row>
    <row r="974" spans="22:23">
      <c r="V974" s="4" t="s">
        <v>563</v>
      </c>
      <c r="W974" s="4" t="s">
        <v>1400</v>
      </c>
    </row>
    <row r="975" spans="22:23">
      <c r="V975" s="4" t="s">
        <v>563</v>
      </c>
      <c r="W975" s="4" t="s">
        <v>1895</v>
      </c>
    </row>
    <row r="976" spans="22:23">
      <c r="V976" s="4" t="s">
        <v>563</v>
      </c>
      <c r="W976" s="4" t="s">
        <v>1896</v>
      </c>
    </row>
    <row r="977" spans="22:23">
      <c r="V977" s="4" t="s">
        <v>563</v>
      </c>
      <c r="W977" s="4" t="s">
        <v>1897</v>
      </c>
    </row>
    <row r="978" spans="22:23">
      <c r="V978" s="4" t="s">
        <v>563</v>
      </c>
      <c r="W978" s="4" t="s">
        <v>1898</v>
      </c>
    </row>
    <row r="979" spans="22:23">
      <c r="V979" s="4" t="s">
        <v>563</v>
      </c>
      <c r="W979" s="4" t="s">
        <v>1899</v>
      </c>
    </row>
    <row r="980" spans="22:23">
      <c r="V980" s="4" t="s">
        <v>563</v>
      </c>
      <c r="W980" s="4" t="s">
        <v>1900</v>
      </c>
    </row>
    <row r="981" spans="22:23">
      <c r="V981" s="4" t="s">
        <v>563</v>
      </c>
      <c r="W981" s="4" t="s">
        <v>1901</v>
      </c>
    </row>
    <row r="982" spans="22:23">
      <c r="V982" s="4" t="s">
        <v>563</v>
      </c>
      <c r="W982" s="4" t="s">
        <v>1902</v>
      </c>
    </row>
    <row r="983" spans="22:23">
      <c r="V983" s="4" t="s">
        <v>563</v>
      </c>
      <c r="W983" s="4" t="s">
        <v>1903</v>
      </c>
    </row>
    <row r="984" spans="22:23">
      <c r="V984" s="4" t="s">
        <v>563</v>
      </c>
      <c r="W984" s="4" t="s">
        <v>1904</v>
      </c>
    </row>
    <row r="985" spans="22:23">
      <c r="V985" s="4" t="s">
        <v>563</v>
      </c>
      <c r="W985" s="4" t="s">
        <v>1905</v>
      </c>
    </row>
    <row r="986" spans="22:23">
      <c r="V986" s="4" t="s">
        <v>563</v>
      </c>
      <c r="W986" s="4" t="s">
        <v>1402</v>
      </c>
    </row>
    <row r="987" spans="22:23">
      <c r="V987" s="4" t="s">
        <v>563</v>
      </c>
      <c r="W987" s="4" t="s">
        <v>985</v>
      </c>
    </row>
    <row r="988" spans="22:23">
      <c r="V988" s="4" t="s">
        <v>563</v>
      </c>
      <c r="W988" s="4" t="s">
        <v>1405</v>
      </c>
    </row>
    <row r="989" spans="22:23">
      <c r="V989" s="4" t="s">
        <v>563</v>
      </c>
      <c r="W989" s="4" t="s">
        <v>1407</v>
      </c>
    </row>
    <row r="990" spans="22:23">
      <c r="V990" s="4" t="s">
        <v>563</v>
      </c>
      <c r="W990" s="4" t="s">
        <v>1906</v>
      </c>
    </row>
    <row r="991" spans="22:23">
      <c r="V991" s="4" t="s">
        <v>563</v>
      </c>
      <c r="W991" s="4" t="s">
        <v>1409</v>
      </c>
    </row>
    <row r="992" spans="22:23">
      <c r="V992" s="4" t="s">
        <v>563</v>
      </c>
      <c r="W992" s="4" t="s">
        <v>733</v>
      </c>
    </row>
    <row r="993" spans="22:23">
      <c r="V993" s="4" t="s">
        <v>571</v>
      </c>
      <c r="W993" s="4" t="s">
        <v>768</v>
      </c>
    </row>
    <row r="994" spans="22:23">
      <c r="V994" s="4" t="s">
        <v>571</v>
      </c>
      <c r="W994" s="4" t="s">
        <v>1413</v>
      </c>
    </row>
    <row r="995" spans="22:23">
      <c r="V995" s="4" t="s">
        <v>571</v>
      </c>
      <c r="W995" s="4" t="s">
        <v>1078</v>
      </c>
    </row>
    <row r="996" spans="22:23">
      <c r="V996" s="4" t="s">
        <v>571</v>
      </c>
      <c r="W996" s="4" t="s">
        <v>1080</v>
      </c>
    </row>
    <row r="997" spans="22:23">
      <c r="V997" s="4" t="s">
        <v>571</v>
      </c>
      <c r="W997" s="4" t="s">
        <v>1907</v>
      </c>
    </row>
    <row r="998" spans="22:23">
      <c r="V998" s="4" t="s">
        <v>571</v>
      </c>
      <c r="W998" s="4" t="s">
        <v>1415</v>
      </c>
    </row>
    <row r="999" spans="22:23">
      <c r="V999" s="4" t="s">
        <v>571</v>
      </c>
      <c r="W999" s="4" t="s">
        <v>1084</v>
      </c>
    </row>
    <row r="1000" spans="22:23">
      <c r="V1000" s="4" t="s">
        <v>571</v>
      </c>
      <c r="W1000" s="4" t="s">
        <v>1417</v>
      </c>
    </row>
    <row r="1001" spans="22:23">
      <c r="V1001" s="4" t="s">
        <v>571</v>
      </c>
      <c r="W1001" s="4" t="s">
        <v>1086</v>
      </c>
    </row>
    <row r="1002" spans="22:23">
      <c r="V1002" s="4" t="s">
        <v>571</v>
      </c>
      <c r="W1002" s="4" t="s">
        <v>1088</v>
      </c>
    </row>
    <row r="1003" spans="22:23">
      <c r="V1003" s="4" t="s">
        <v>571</v>
      </c>
      <c r="W1003" s="4" t="s">
        <v>772</v>
      </c>
    </row>
    <row r="1004" spans="22:23">
      <c r="V1004" s="4" t="s">
        <v>571</v>
      </c>
      <c r="W1004" s="4" t="s">
        <v>774</v>
      </c>
    </row>
    <row r="1005" spans="22:23">
      <c r="V1005" s="4" t="s">
        <v>571</v>
      </c>
      <c r="W1005" s="4" t="s">
        <v>1090</v>
      </c>
    </row>
    <row r="1006" spans="22:23">
      <c r="V1006" s="4" t="s">
        <v>571</v>
      </c>
      <c r="W1006" s="4" t="s">
        <v>1092</v>
      </c>
    </row>
    <row r="1007" spans="22:23">
      <c r="V1007" s="4" t="s">
        <v>571</v>
      </c>
      <c r="W1007" s="4" t="s">
        <v>1419</v>
      </c>
    </row>
    <row r="1008" spans="22:23">
      <c r="V1008" s="4" t="s">
        <v>571</v>
      </c>
      <c r="W1008" s="4" t="s">
        <v>1094</v>
      </c>
    </row>
    <row r="1009" spans="22:23">
      <c r="V1009" s="4" t="s">
        <v>571</v>
      </c>
      <c r="W1009" s="4" t="s">
        <v>1421</v>
      </c>
    </row>
    <row r="1010" spans="22:23">
      <c r="V1010" s="4" t="s">
        <v>571</v>
      </c>
      <c r="W1010" s="4" t="s">
        <v>1096</v>
      </c>
    </row>
    <row r="1011" spans="22:23">
      <c r="V1011" s="4" t="s">
        <v>571</v>
      </c>
      <c r="W1011" s="4" t="s">
        <v>1423</v>
      </c>
    </row>
    <row r="1012" spans="22:23">
      <c r="V1012" s="4" t="s">
        <v>571</v>
      </c>
      <c r="W1012" s="4" t="s">
        <v>1098</v>
      </c>
    </row>
    <row r="1013" spans="22:23">
      <c r="V1013" s="4" t="s">
        <v>571</v>
      </c>
      <c r="W1013" s="4" t="s">
        <v>1425</v>
      </c>
    </row>
    <row r="1014" spans="22:23">
      <c r="V1014" s="4" t="s">
        <v>571</v>
      </c>
      <c r="W1014" s="4" t="s">
        <v>1427</v>
      </c>
    </row>
    <row r="1015" spans="22:23">
      <c r="V1015" s="4" t="s">
        <v>571</v>
      </c>
      <c r="W1015" s="4" t="s">
        <v>1429</v>
      </c>
    </row>
    <row r="1016" spans="22:23">
      <c r="V1016" s="4" t="s">
        <v>571</v>
      </c>
      <c r="W1016" s="4" t="s">
        <v>1431</v>
      </c>
    </row>
    <row r="1017" spans="22:23">
      <c r="V1017" s="4" t="s">
        <v>571</v>
      </c>
      <c r="W1017" s="4" t="s">
        <v>909</v>
      </c>
    </row>
    <row r="1018" spans="22:23">
      <c r="V1018" s="4" t="s">
        <v>571</v>
      </c>
      <c r="W1018" s="4" t="s">
        <v>1100</v>
      </c>
    </row>
    <row r="1019" spans="22:23">
      <c r="V1019" s="4" t="s">
        <v>571</v>
      </c>
      <c r="W1019" s="4" t="s">
        <v>1433</v>
      </c>
    </row>
    <row r="1020" spans="22:23">
      <c r="V1020" s="4" t="s">
        <v>571</v>
      </c>
      <c r="W1020" s="4" t="s">
        <v>1102</v>
      </c>
    </row>
    <row r="1021" spans="22:23">
      <c r="V1021" s="4" t="s">
        <v>571</v>
      </c>
      <c r="W1021" s="4" t="s">
        <v>911</v>
      </c>
    </row>
    <row r="1022" spans="22:23">
      <c r="V1022" s="4" t="s">
        <v>571</v>
      </c>
      <c r="W1022" s="4" t="s">
        <v>1104</v>
      </c>
    </row>
    <row r="1023" spans="22:23">
      <c r="V1023" s="4" t="s">
        <v>571</v>
      </c>
      <c r="W1023" s="4" t="s">
        <v>1435</v>
      </c>
    </row>
    <row r="1024" spans="22:23">
      <c r="V1024" s="4" t="s">
        <v>571</v>
      </c>
      <c r="W1024" s="4" t="s">
        <v>1106</v>
      </c>
    </row>
    <row r="1025" spans="22:23">
      <c r="V1025" s="4" t="s">
        <v>571</v>
      </c>
      <c r="W1025" s="4" t="s">
        <v>1908</v>
      </c>
    </row>
    <row r="1026" spans="22:23">
      <c r="V1026" s="4" t="s">
        <v>571</v>
      </c>
      <c r="W1026" s="4" t="s">
        <v>1110</v>
      </c>
    </row>
    <row r="1027" spans="22:23">
      <c r="V1027" s="4" t="s">
        <v>571</v>
      </c>
      <c r="W1027" s="4" t="s">
        <v>1112</v>
      </c>
    </row>
    <row r="1028" spans="22:23">
      <c r="V1028" s="4" t="s">
        <v>571</v>
      </c>
      <c r="W1028" s="4" t="s">
        <v>1909</v>
      </c>
    </row>
    <row r="1029" spans="22:23">
      <c r="V1029" s="4" t="s">
        <v>571</v>
      </c>
      <c r="W1029" s="4" t="s">
        <v>1114</v>
      </c>
    </row>
    <row r="1030" spans="22:23">
      <c r="V1030" s="4" t="s">
        <v>571</v>
      </c>
      <c r="W1030" s="4" t="s">
        <v>1116</v>
      </c>
    </row>
    <row r="1031" spans="22:23">
      <c r="V1031" s="4" t="s">
        <v>571</v>
      </c>
      <c r="W1031" s="4" t="s">
        <v>1118</v>
      </c>
    </row>
    <row r="1032" spans="22:23">
      <c r="V1032" s="4" t="s">
        <v>571</v>
      </c>
      <c r="W1032" s="4" t="s">
        <v>1910</v>
      </c>
    </row>
    <row r="1033" spans="22:23">
      <c r="V1033" s="4" t="s">
        <v>571</v>
      </c>
      <c r="W1033" s="4" t="s">
        <v>1437</v>
      </c>
    </row>
    <row r="1034" spans="22:23">
      <c r="V1034" s="4" t="s">
        <v>571</v>
      </c>
      <c r="W1034" s="4" t="s">
        <v>1439</v>
      </c>
    </row>
    <row r="1035" spans="22:23">
      <c r="V1035" s="4" t="s">
        <v>571</v>
      </c>
      <c r="W1035" s="4" t="s">
        <v>1120</v>
      </c>
    </row>
    <row r="1036" spans="22:23">
      <c r="V1036" s="4" t="s">
        <v>571</v>
      </c>
      <c r="W1036" s="4" t="s">
        <v>1122</v>
      </c>
    </row>
    <row r="1037" spans="22:23">
      <c r="V1037" s="4" t="s">
        <v>571</v>
      </c>
      <c r="W1037" s="4" t="s">
        <v>1911</v>
      </c>
    </row>
    <row r="1038" spans="22:23">
      <c r="V1038" s="4" t="s">
        <v>571</v>
      </c>
      <c r="W1038" s="4" t="s">
        <v>1441</v>
      </c>
    </row>
    <row r="1039" spans="22:23">
      <c r="V1039" s="4" t="s">
        <v>571</v>
      </c>
      <c r="W1039" s="4" t="s">
        <v>1442</v>
      </c>
    </row>
    <row r="1040" spans="22:23">
      <c r="V1040" s="4" t="s">
        <v>571</v>
      </c>
      <c r="W1040" s="4" t="s">
        <v>1912</v>
      </c>
    </row>
    <row r="1041" spans="22:23">
      <c r="V1041" s="4" t="s">
        <v>571</v>
      </c>
      <c r="W1041" s="4" t="s">
        <v>1756</v>
      </c>
    </row>
    <row r="1042" spans="22:23">
      <c r="V1042" s="4" t="s">
        <v>571</v>
      </c>
      <c r="W1042" s="4" t="s">
        <v>1913</v>
      </c>
    </row>
    <row r="1043" spans="22:23">
      <c r="V1043" s="4" t="s">
        <v>571</v>
      </c>
      <c r="W1043" s="4" t="s">
        <v>1446</v>
      </c>
    </row>
    <row r="1044" spans="22:23">
      <c r="V1044" s="4" t="s">
        <v>571</v>
      </c>
      <c r="W1044" s="4" t="s">
        <v>1448</v>
      </c>
    </row>
    <row r="1045" spans="22:23">
      <c r="V1045" s="4" t="s">
        <v>571</v>
      </c>
      <c r="W1045" s="4" t="s">
        <v>1450</v>
      </c>
    </row>
    <row r="1046" spans="22:23">
      <c r="V1046" s="4" t="s">
        <v>571</v>
      </c>
      <c r="W1046" s="4" t="s">
        <v>1452</v>
      </c>
    </row>
    <row r="1047" spans="22:23">
      <c r="V1047" s="4" t="s">
        <v>579</v>
      </c>
      <c r="W1047" s="4" t="s">
        <v>1128</v>
      </c>
    </row>
    <row r="1048" spans="22:23">
      <c r="V1048" s="4" t="s">
        <v>579</v>
      </c>
      <c r="W1048" s="4" t="s">
        <v>1130</v>
      </c>
    </row>
    <row r="1049" spans="22:23">
      <c r="V1049" s="4" t="s">
        <v>579</v>
      </c>
      <c r="W1049" s="4" t="s">
        <v>1914</v>
      </c>
    </row>
    <row r="1050" spans="22:23">
      <c r="V1050" s="4" t="s">
        <v>579</v>
      </c>
      <c r="W1050" s="4" t="s">
        <v>1915</v>
      </c>
    </row>
    <row r="1051" spans="22:23">
      <c r="V1051" s="4" t="s">
        <v>579</v>
      </c>
      <c r="W1051" s="4" t="s">
        <v>1132</v>
      </c>
    </row>
    <row r="1052" spans="22:23">
      <c r="V1052" s="4" t="s">
        <v>579</v>
      </c>
      <c r="W1052" s="4" t="s">
        <v>1134</v>
      </c>
    </row>
    <row r="1053" spans="22:23">
      <c r="V1053" s="4" t="s">
        <v>579</v>
      </c>
      <c r="W1053" s="4" t="s">
        <v>1454</v>
      </c>
    </row>
    <row r="1054" spans="22:23">
      <c r="V1054" s="4" t="s">
        <v>579</v>
      </c>
      <c r="W1054" s="4" t="s">
        <v>1916</v>
      </c>
    </row>
    <row r="1055" spans="22:23">
      <c r="V1055" s="4" t="s">
        <v>579</v>
      </c>
      <c r="W1055" s="4" t="s">
        <v>1136</v>
      </c>
    </row>
    <row r="1056" spans="22:23">
      <c r="V1056" s="4" t="s">
        <v>579</v>
      </c>
      <c r="W1056" s="4" t="s">
        <v>1917</v>
      </c>
    </row>
    <row r="1057" spans="22:23">
      <c r="V1057" s="4" t="s">
        <v>579</v>
      </c>
      <c r="W1057" s="4" t="s">
        <v>1918</v>
      </c>
    </row>
    <row r="1058" spans="22:23">
      <c r="V1058" s="4" t="s">
        <v>579</v>
      </c>
      <c r="W1058" s="4" t="s">
        <v>1456</v>
      </c>
    </row>
    <row r="1059" spans="22:23">
      <c r="V1059" s="4" t="s">
        <v>579</v>
      </c>
      <c r="W1059" s="4" t="s">
        <v>1919</v>
      </c>
    </row>
    <row r="1060" spans="22:23">
      <c r="V1060" s="4" t="s">
        <v>579</v>
      </c>
      <c r="W1060" s="4" t="s">
        <v>1458</v>
      </c>
    </row>
    <row r="1061" spans="22:23">
      <c r="V1061" s="4" t="s">
        <v>579</v>
      </c>
      <c r="W1061" s="4" t="s">
        <v>1460</v>
      </c>
    </row>
    <row r="1062" spans="22:23">
      <c r="V1062" s="4" t="s">
        <v>579</v>
      </c>
      <c r="W1062" s="4" t="s">
        <v>1462</v>
      </c>
    </row>
    <row r="1063" spans="22:23">
      <c r="V1063" s="4" t="s">
        <v>579</v>
      </c>
      <c r="W1063" s="4" t="s">
        <v>1464</v>
      </c>
    </row>
    <row r="1064" spans="22:23">
      <c r="V1064" s="4" t="s">
        <v>579</v>
      </c>
      <c r="W1064" s="4" t="s">
        <v>1345</v>
      </c>
    </row>
    <row r="1065" spans="22:23">
      <c r="V1065" s="4" t="s">
        <v>579</v>
      </c>
      <c r="W1065" s="4" t="s">
        <v>1468</v>
      </c>
    </row>
    <row r="1066" spans="22:23">
      <c r="V1066" s="4" t="s">
        <v>579</v>
      </c>
      <c r="W1066" s="4" t="s">
        <v>1920</v>
      </c>
    </row>
    <row r="1067" spans="22:23">
      <c r="V1067" s="4" t="s">
        <v>579</v>
      </c>
      <c r="W1067" s="4" t="s">
        <v>1591</v>
      </c>
    </row>
    <row r="1068" spans="22:23">
      <c r="V1068" s="4" t="s">
        <v>579</v>
      </c>
      <c r="W1068" s="4" t="s">
        <v>1921</v>
      </c>
    </row>
    <row r="1069" spans="22:23">
      <c r="V1069" s="4" t="s">
        <v>579</v>
      </c>
      <c r="W1069" s="4" t="s">
        <v>1922</v>
      </c>
    </row>
    <row r="1070" spans="22:23">
      <c r="V1070" s="4" t="s">
        <v>579</v>
      </c>
      <c r="W1070" s="4" t="s">
        <v>1923</v>
      </c>
    </row>
    <row r="1071" spans="22:23">
      <c r="V1071" s="4" t="s">
        <v>579</v>
      </c>
      <c r="W1071" s="4" t="s">
        <v>1924</v>
      </c>
    </row>
    <row r="1072" spans="22:23">
      <c r="V1072" s="4" t="s">
        <v>579</v>
      </c>
      <c r="W1072" s="4" t="s">
        <v>1925</v>
      </c>
    </row>
    <row r="1073" spans="22:23">
      <c r="V1073" s="4" t="s">
        <v>579</v>
      </c>
      <c r="W1073" s="4" t="s">
        <v>1926</v>
      </c>
    </row>
    <row r="1074" spans="22:23">
      <c r="V1074" s="4" t="s">
        <v>579</v>
      </c>
      <c r="W1074" s="4" t="s">
        <v>1927</v>
      </c>
    </row>
    <row r="1075" spans="22:23">
      <c r="V1075" s="4" t="s">
        <v>579</v>
      </c>
      <c r="W1075" s="4" t="s">
        <v>1928</v>
      </c>
    </row>
    <row r="1076" spans="22:23">
      <c r="V1076" s="4" t="s">
        <v>587</v>
      </c>
      <c r="W1076" s="4" t="s">
        <v>915</v>
      </c>
    </row>
    <row r="1077" spans="22:23">
      <c r="V1077" s="4" t="s">
        <v>587</v>
      </c>
      <c r="W1077" s="4" t="s">
        <v>1138</v>
      </c>
    </row>
    <row r="1078" spans="22:23">
      <c r="V1078" s="4" t="s">
        <v>587</v>
      </c>
      <c r="W1078" s="4" t="s">
        <v>1470</v>
      </c>
    </row>
    <row r="1079" spans="22:23">
      <c r="V1079" s="4" t="s">
        <v>587</v>
      </c>
      <c r="W1079" s="4" t="s">
        <v>1929</v>
      </c>
    </row>
    <row r="1080" spans="22:23">
      <c r="V1080" s="4" t="s">
        <v>587</v>
      </c>
      <c r="W1080" s="4" t="s">
        <v>917</v>
      </c>
    </row>
    <row r="1081" spans="22:23">
      <c r="V1081" s="4" t="s">
        <v>587</v>
      </c>
      <c r="W1081" s="4" t="s">
        <v>1140</v>
      </c>
    </row>
    <row r="1082" spans="22:23">
      <c r="V1082" s="4" t="s">
        <v>587</v>
      </c>
      <c r="W1082" s="4" t="s">
        <v>1930</v>
      </c>
    </row>
    <row r="1083" spans="22:23">
      <c r="V1083" s="4" t="s">
        <v>587</v>
      </c>
      <c r="W1083" s="4" t="s">
        <v>1142</v>
      </c>
    </row>
    <row r="1084" spans="22:23">
      <c r="V1084" s="4" t="s">
        <v>587</v>
      </c>
      <c r="W1084" s="4" t="s">
        <v>1474</v>
      </c>
    </row>
    <row r="1085" spans="22:23">
      <c r="V1085" s="4" t="s">
        <v>587</v>
      </c>
      <c r="W1085" s="4" t="s">
        <v>1476</v>
      </c>
    </row>
    <row r="1086" spans="22:23">
      <c r="V1086" s="4" t="s">
        <v>587</v>
      </c>
      <c r="W1086" s="4" t="s">
        <v>1931</v>
      </c>
    </row>
    <row r="1087" spans="22:23">
      <c r="V1087" s="4" t="s">
        <v>587</v>
      </c>
      <c r="W1087" s="4" t="s">
        <v>1480</v>
      </c>
    </row>
    <row r="1088" spans="22:23">
      <c r="V1088" s="4" t="s">
        <v>587</v>
      </c>
      <c r="W1088" s="4" t="s">
        <v>1932</v>
      </c>
    </row>
    <row r="1089" spans="22:23">
      <c r="V1089" s="4" t="s">
        <v>587</v>
      </c>
      <c r="W1089" s="4" t="s">
        <v>1933</v>
      </c>
    </row>
    <row r="1090" spans="22:23">
      <c r="V1090" s="4" t="s">
        <v>587</v>
      </c>
      <c r="W1090" s="4" t="s">
        <v>1934</v>
      </c>
    </row>
    <row r="1091" spans="22:23">
      <c r="V1091" s="4" t="s">
        <v>587</v>
      </c>
      <c r="W1091" s="4" t="s">
        <v>1935</v>
      </c>
    </row>
    <row r="1092" spans="22:23">
      <c r="V1092" s="4" t="s">
        <v>587</v>
      </c>
      <c r="W1092" s="4" t="s">
        <v>1936</v>
      </c>
    </row>
    <row r="1093" spans="22:23">
      <c r="V1093" s="4" t="s">
        <v>587</v>
      </c>
      <c r="W1093" s="4" t="s">
        <v>1937</v>
      </c>
    </row>
    <row r="1094" spans="22:23">
      <c r="V1094" s="4" t="s">
        <v>587</v>
      </c>
      <c r="W1094" s="4" t="s">
        <v>1938</v>
      </c>
    </row>
    <row r="1095" spans="22:23">
      <c r="V1095" s="4" t="s">
        <v>596</v>
      </c>
      <c r="W1095" s="4" t="s">
        <v>921</v>
      </c>
    </row>
    <row r="1096" spans="22:23">
      <c r="V1096" s="4" t="s">
        <v>596</v>
      </c>
      <c r="W1096" s="4" t="s">
        <v>1939</v>
      </c>
    </row>
    <row r="1097" spans="22:23">
      <c r="V1097" s="4" t="s">
        <v>596</v>
      </c>
      <c r="W1097" s="4" t="s">
        <v>1940</v>
      </c>
    </row>
    <row r="1098" spans="22:23">
      <c r="V1098" s="4" t="s">
        <v>596</v>
      </c>
      <c r="W1098" s="4" t="s">
        <v>1941</v>
      </c>
    </row>
    <row r="1099" spans="22:23">
      <c r="V1099" s="4" t="s">
        <v>596</v>
      </c>
      <c r="W1099" s="4" t="s">
        <v>1144</v>
      </c>
    </row>
    <row r="1100" spans="22:23">
      <c r="V1100" s="4" t="s">
        <v>596</v>
      </c>
      <c r="W1100" s="4" t="s">
        <v>1942</v>
      </c>
    </row>
    <row r="1101" spans="22:23">
      <c r="V1101" s="4" t="s">
        <v>596</v>
      </c>
      <c r="W1101" s="4" t="s">
        <v>1146</v>
      </c>
    </row>
    <row r="1102" spans="22:23">
      <c r="V1102" s="4" t="s">
        <v>596</v>
      </c>
      <c r="W1102" s="4" t="s">
        <v>1148</v>
      </c>
    </row>
    <row r="1103" spans="22:23">
      <c r="V1103" s="4" t="s">
        <v>596</v>
      </c>
      <c r="W1103" s="4" t="s">
        <v>1150</v>
      </c>
    </row>
    <row r="1104" spans="22:23">
      <c r="V1104" s="4" t="s">
        <v>596</v>
      </c>
      <c r="W1104" s="4" t="s">
        <v>923</v>
      </c>
    </row>
    <row r="1105" spans="22:23">
      <c r="V1105" s="4" t="s">
        <v>596</v>
      </c>
      <c r="W1105" s="4" t="s">
        <v>1152</v>
      </c>
    </row>
    <row r="1106" spans="22:23">
      <c r="V1106" s="4" t="s">
        <v>596</v>
      </c>
      <c r="W1106" s="4" t="s">
        <v>1154</v>
      </c>
    </row>
    <row r="1107" spans="22:23">
      <c r="V1107" s="4" t="s">
        <v>596</v>
      </c>
      <c r="W1107" s="4" t="s">
        <v>1943</v>
      </c>
    </row>
    <row r="1108" spans="22:23">
      <c r="V1108" s="4" t="s">
        <v>596</v>
      </c>
      <c r="W1108" s="4" t="s">
        <v>1944</v>
      </c>
    </row>
    <row r="1109" spans="22:23">
      <c r="V1109" s="4" t="s">
        <v>596</v>
      </c>
      <c r="W1109" s="4" t="s">
        <v>1156</v>
      </c>
    </row>
    <row r="1110" spans="22:23">
      <c r="V1110" s="4" t="s">
        <v>596</v>
      </c>
      <c r="W1110" s="4" t="s">
        <v>1158</v>
      </c>
    </row>
    <row r="1111" spans="22:23">
      <c r="V1111" s="4" t="s">
        <v>596</v>
      </c>
      <c r="W1111" s="4" t="s">
        <v>1486</v>
      </c>
    </row>
    <row r="1112" spans="22:23">
      <c r="V1112" s="4" t="s">
        <v>596</v>
      </c>
      <c r="W1112" s="4" t="s">
        <v>1945</v>
      </c>
    </row>
    <row r="1113" spans="22:23">
      <c r="V1113" s="4" t="s">
        <v>596</v>
      </c>
      <c r="W1113" s="4" t="s">
        <v>1946</v>
      </c>
    </row>
    <row r="1114" spans="22:23">
      <c r="V1114" s="4" t="s">
        <v>596</v>
      </c>
      <c r="W1114" s="4" t="s">
        <v>1947</v>
      </c>
    </row>
    <row r="1115" spans="22:23">
      <c r="V1115" s="4" t="s">
        <v>596</v>
      </c>
      <c r="W1115" s="4" t="s">
        <v>1948</v>
      </c>
    </row>
    <row r="1116" spans="22:23">
      <c r="V1116" s="4" t="s">
        <v>596</v>
      </c>
      <c r="W1116" s="4" t="s">
        <v>1160</v>
      </c>
    </row>
    <row r="1117" spans="22:23">
      <c r="V1117" s="4" t="s">
        <v>596</v>
      </c>
      <c r="W1117" s="4" t="s">
        <v>1949</v>
      </c>
    </row>
    <row r="1118" spans="22:23">
      <c r="V1118" s="4" t="s">
        <v>596</v>
      </c>
      <c r="W1118" s="4" t="s">
        <v>1950</v>
      </c>
    </row>
    <row r="1119" spans="22:23">
      <c r="V1119" s="4" t="s">
        <v>596</v>
      </c>
      <c r="W1119" s="4" t="s">
        <v>1951</v>
      </c>
    </row>
    <row r="1120" spans="22:23">
      <c r="V1120" s="4" t="s">
        <v>596</v>
      </c>
      <c r="W1120" s="4" t="s">
        <v>1952</v>
      </c>
    </row>
    <row r="1121" spans="22:23">
      <c r="V1121" s="4" t="s">
        <v>605</v>
      </c>
      <c r="W1121" s="4" t="s">
        <v>1953</v>
      </c>
    </row>
    <row r="1122" spans="22:23">
      <c r="V1122" s="4" t="s">
        <v>605</v>
      </c>
      <c r="W1122" s="4" t="s">
        <v>925</v>
      </c>
    </row>
    <row r="1123" spans="22:23">
      <c r="V1123" s="4" t="s">
        <v>605</v>
      </c>
      <c r="W1123" s="4" t="s">
        <v>1162</v>
      </c>
    </row>
    <row r="1124" spans="22:23">
      <c r="V1124" s="4" t="s">
        <v>605</v>
      </c>
      <c r="W1124" s="4" t="s">
        <v>822</v>
      </c>
    </row>
    <row r="1125" spans="22:23">
      <c r="V1125" s="4" t="s">
        <v>605</v>
      </c>
      <c r="W1125" s="4" t="s">
        <v>824</v>
      </c>
    </row>
    <row r="1126" spans="22:23">
      <c r="V1126" s="4" t="s">
        <v>605</v>
      </c>
      <c r="W1126" s="4" t="s">
        <v>826</v>
      </c>
    </row>
    <row r="1127" spans="22:23">
      <c r="V1127" s="4" t="s">
        <v>605</v>
      </c>
      <c r="W1127" s="4" t="s">
        <v>1164</v>
      </c>
    </row>
    <row r="1128" spans="22:23">
      <c r="V1128" s="4" t="s">
        <v>605</v>
      </c>
      <c r="W1128" s="4" t="s">
        <v>828</v>
      </c>
    </row>
    <row r="1129" spans="22:23">
      <c r="V1129" s="4" t="s">
        <v>605</v>
      </c>
      <c r="W1129" s="4" t="s">
        <v>1166</v>
      </c>
    </row>
    <row r="1130" spans="22:23">
      <c r="V1130" s="4" t="s">
        <v>605</v>
      </c>
      <c r="W1130" s="4" t="s">
        <v>776</v>
      </c>
    </row>
    <row r="1131" spans="22:23">
      <c r="V1131" s="4" t="s">
        <v>605</v>
      </c>
      <c r="W1131" s="4" t="s">
        <v>927</v>
      </c>
    </row>
    <row r="1132" spans="22:23">
      <c r="V1132" s="4" t="s">
        <v>605</v>
      </c>
      <c r="W1132" s="4" t="s">
        <v>929</v>
      </c>
    </row>
    <row r="1133" spans="22:23">
      <c r="V1133" s="4" t="s">
        <v>605</v>
      </c>
      <c r="W1133" s="4" t="s">
        <v>931</v>
      </c>
    </row>
    <row r="1134" spans="22:23">
      <c r="V1134" s="4" t="s">
        <v>605</v>
      </c>
      <c r="W1134" s="4" t="s">
        <v>1168</v>
      </c>
    </row>
    <row r="1135" spans="22:23">
      <c r="V1135" s="4" t="s">
        <v>605</v>
      </c>
      <c r="W1135" s="4" t="s">
        <v>1170</v>
      </c>
    </row>
    <row r="1136" spans="22:23">
      <c r="V1136" s="4" t="s">
        <v>605</v>
      </c>
      <c r="W1136" s="4" t="s">
        <v>830</v>
      </c>
    </row>
    <row r="1137" spans="22:23">
      <c r="V1137" s="4" t="s">
        <v>605</v>
      </c>
      <c r="W1137" s="4" t="s">
        <v>1172</v>
      </c>
    </row>
    <row r="1138" spans="22:23">
      <c r="V1138" s="4" t="s">
        <v>605</v>
      </c>
      <c r="W1138" s="4" t="s">
        <v>933</v>
      </c>
    </row>
    <row r="1139" spans="22:23">
      <c r="V1139" s="4" t="s">
        <v>605</v>
      </c>
      <c r="W1139" s="4" t="s">
        <v>778</v>
      </c>
    </row>
    <row r="1140" spans="22:23">
      <c r="V1140" s="4" t="s">
        <v>605</v>
      </c>
      <c r="W1140" s="4" t="s">
        <v>1174</v>
      </c>
    </row>
    <row r="1141" spans="22:23">
      <c r="V1141" s="4" t="s">
        <v>605</v>
      </c>
      <c r="W1141" s="4" t="s">
        <v>832</v>
      </c>
    </row>
    <row r="1142" spans="22:23">
      <c r="V1142" s="4" t="s">
        <v>605</v>
      </c>
      <c r="W1142" s="4" t="s">
        <v>1176</v>
      </c>
    </row>
    <row r="1143" spans="22:23">
      <c r="V1143" s="4" t="s">
        <v>605</v>
      </c>
      <c r="W1143" s="4" t="s">
        <v>1178</v>
      </c>
    </row>
    <row r="1144" spans="22:23">
      <c r="V1144" s="4" t="s">
        <v>605</v>
      </c>
      <c r="W1144" s="4" t="s">
        <v>780</v>
      </c>
    </row>
    <row r="1145" spans="22:23">
      <c r="V1145" s="4" t="s">
        <v>605</v>
      </c>
      <c r="W1145" s="4" t="s">
        <v>935</v>
      </c>
    </row>
    <row r="1146" spans="22:23">
      <c r="V1146" s="4" t="s">
        <v>605</v>
      </c>
      <c r="W1146" s="4" t="s">
        <v>937</v>
      </c>
    </row>
    <row r="1147" spans="22:23">
      <c r="V1147" s="4" t="s">
        <v>605</v>
      </c>
      <c r="W1147" s="4" t="s">
        <v>1180</v>
      </c>
    </row>
    <row r="1148" spans="22:23">
      <c r="V1148" s="4" t="s">
        <v>605</v>
      </c>
      <c r="W1148" s="4" t="s">
        <v>939</v>
      </c>
    </row>
    <row r="1149" spans="22:23">
      <c r="V1149" s="4" t="s">
        <v>605</v>
      </c>
      <c r="W1149" s="4" t="s">
        <v>1182</v>
      </c>
    </row>
    <row r="1150" spans="22:23">
      <c r="V1150" s="4" t="s">
        <v>605</v>
      </c>
      <c r="W1150" s="4" t="s">
        <v>834</v>
      </c>
    </row>
    <row r="1151" spans="22:23">
      <c r="V1151" s="4" t="s">
        <v>605</v>
      </c>
      <c r="W1151" s="4" t="s">
        <v>941</v>
      </c>
    </row>
    <row r="1152" spans="22:23">
      <c r="V1152" s="4" t="s">
        <v>605</v>
      </c>
      <c r="W1152" s="4" t="s">
        <v>1184</v>
      </c>
    </row>
    <row r="1153" spans="22:23">
      <c r="V1153" s="4" t="s">
        <v>605</v>
      </c>
      <c r="W1153" s="4" t="s">
        <v>1186</v>
      </c>
    </row>
    <row r="1154" spans="22:23">
      <c r="V1154" s="4" t="s">
        <v>605</v>
      </c>
      <c r="W1154" s="4" t="s">
        <v>1188</v>
      </c>
    </row>
    <row r="1155" spans="22:23">
      <c r="V1155" s="4" t="s">
        <v>605</v>
      </c>
      <c r="W1155" s="4" t="s">
        <v>1190</v>
      </c>
    </row>
    <row r="1156" spans="22:23">
      <c r="V1156" s="4" t="s">
        <v>605</v>
      </c>
      <c r="W1156" s="4" t="s">
        <v>1191</v>
      </c>
    </row>
    <row r="1157" spans="22:23">
      <c r="V1157" s="4" t="s">
        <v>605</v>
      </c>
      <c r="W1157" s="4" t="s">
        <v>1193</v>
      </c>
    </row>
    <row r="1158" spans="22:23">
      <c r="V1158" s="4" t="s">
        <v>605</v>
      </c>
      <c r="W1158" s="4" t="s">
        <v>1195</v>
      </c>
    </row>
    <row r="1159" spans="22:23">
      <c r="V1159" s="4" t="s">
        <v>605</v>
      </c>
      <c r="W1159" s="4" t="s">
        <v>1197</v>
      </c>
    </row>
    <row r="1160" spans="22:23">
      <c r="V1160" s="4" t="s">
        <v>605</v>
      </c>
      <c r="W1160" s="4" t="s">
        <v>1199</v>
      </c>
    </row>
    <row r="1161" spans="22:23">
      <c r="V1161" s="4" t="s">
        <v>605</v>
      </c>
      <c r="W1161" s="4" t="s">
        <v>1954</v>
      </c>
    </row>
    <row r="1162" spans="22:23">
      <c r="V1162" s="4" t="s">
        <v>605</v>
      </c>
      <c r="W1162" s="4" t="s">
        <v>1203</v>
      </c>
    </row>
    <row r="1163" spans="22:23">
      <c r="V1163" s="4" t="s">
        <v>605</v>
      </c>
      <c r="W1163" s="4" t="s">
        <v>1205</v>
      </c>
    </row>
    <row r="1164" spans="22:23">
      <c r="V1164" s="4" t="s">
        <v>615</v>
      </c>
      <c r="W1164" s="4" t="s">
        <v>836</v>
      </c>
    </row>
    <row r="1165" spans="22:23">
      <c r="V1165" s="4" t="s">
        <v>615</v>
      </c>
      <c r="W1165" s="4" t="s">
        <v>1488</v>
      </c>
    </row>
    <row r="1166" spans="22:23">
      <c r="V1166" s="4" t="s">
        <v>615</v>
      </c>
      <c r="W1166" s="4" t="s">
        <v>943</v>
      </c>
    </row>
    <row r="1167" spans="22:23">
      <c r="V1167" s="4" t="s">
        <v>615</v>
      </c>
      <c r="W1167" s="4" t="s">
        <v>1207</v>
      </c>
    </row>
    <row r="1168" spans="22:23">
      <c r="V1168" s="4" t="s">
        <v>615</v>
      </c>
      <c r="W1168" s="4" t="s">
        <v>783</v>
      </c>
    </row>
    <row r="1169" spans="22:23">
      <c r="V1169" s="4" t="s">
        <v>615</v>
      </c>
      <c r="W1169" s="4" t="s">
        <v>1955</v>
      </c>
    </row>
    <row r="1170" spans="22:23">
      <c r="V1170" s="4" t="s">
        <v>615</v>
      </c>
      <c r="W1170" s="4" t="s">
        <v>785</v>
      </c>
    </row>
    <row r="1171" spans="22:23">
      <c r="V1171" s="4" t="s">
        <v>615</v>
      </c>
      <c r="W1171" s="4" t="s">
        <v>945</v>
      </c>
    </row>
    <row r="1172" spans="22:23">
      <c r="V1172" s="4" t="s">
        <v>615</v>
      </c>
      <c r="W1172" s="4" t="s">
        <v>1956</v>
      </c>
    </row>
    <row r="1173" spans="22:23">
      <c r="V1173" s="4" t="s">
        <v>615</v>
      </c>
      <c r="W1173" s="4" t="s">
        <v>1957</v>
      </c>
    </row>
    <row r="1174" spans="22:23">
      <c r="V1174" s="4" t="s">
        <v>615</v>
      </c>
      <c r="W1174" s="4" t="s">
        <v>1490</v>
      </c>
    </row>
    <row r="1175" spans="22:23">
      <c r="V1175" s="4" t="s">
        <v>615</v>
      </c>
      <c r="W1175" s="4" t="s">
        <v>1958</v>
      </c>
    </row>
    <row r="1176" spans="22:23">
      <c r="V1176" s="4" t="s">
        <v>615</v>
      </c>
      <c r="W1176" s="4" t="s">
        <v>1959</v>
      </c>
    </row>
    <row r="1177" spans="22:23">
      <c r="V1177" s="4" t="s">
        <v>615</v>
      </c>
      <c r="W1177" s="4" t="s">
        <v>787</v>
      </c>
    </row>
    <row r="1178" spans="22:23">
      <c r="V1178" s="4" t="s">
        <v>615</v>
      </c>
      <c r="W1178" s="4" t="s">
        <v>1492</v>
      </c>
    </row>
    <row r="1179" spans="22:23">
      <c r="V1179" s="4" t="s">
        <v>615</v>
      </c>
      <c r="W1179" s="4" t="s">
        <v>1494</v>
      </c>
    </row>
    <row r="1180" spans="22:23">
      <c r="V1180" s="4" t="s">
        <v>615</v>
      </c>
      <c r="W1180" s="4" t="s">
        <v>947</v>
      </c>
    </row>
    <row r="1181" spans="22:23">
      <c r="V1181" s="4" t="s">
        <v>615</v>
      </c>
      <c r="W1181" s="4" t="s">
        <v>1960</v>
      </c>
    </row>
    <row r="1182" spans="22:23">
      <c r="V1182" s="4" t="s">
        <v>615</v>
      </c>
      <c r="W1182" s="4" t="s">
        <v>949</v>
      </c>
    </row>
    <row r="1183" spans="22:23">
      <c r="V1183" s="4" t="s">
        <v>615</v>
      </c>
      <c r="W1183" s="4" t="s">
        <v>1961</v>
      </c>
    </row>
    <row r="1184" spans="22:23">
      <c r="V1184" s="4" t="s">
        <v>615</v>
      </c>
      <c r="W1184" s="4" t="s">
        <v>1962</v>
      </c>
    </row>
    <row r="1185" spans="22:23">
      <c r="V1185" s="4" t="s">
        <v>615</v>
      </c>
      <c r="W1185" s="4" t="s">
        <v>1963</v>
      </c>
    </row>
    <row r="1186" spans="22:23">
      <c r="V1186" s="4" t="s">
        <v>615</v>
      </c>
      <c r="W1186" s="4" t="s">
        <v>1964</v>
      </c>
    </row>
    <row r="1187" spans="22:23">
      <c r="V1187" s="4" t="s">
        <v>615</v>
      </c>
      <c r="W1187" s="4" t="s">
        <v>1965</v>
      </c>
    </row>
    <row r="1188" spans="22:23">
      <c r="V1188" s="4" t="s">
        <v>615</v>
      </c>
      <c r="W1188" s="4" t="s">
        <v>1966</v>
      </c>
    </row>
    <row r="1189" spans="22:23">
      <c r="V1189" s="4" t="s">
        <v>615</v>
      </c>
      <c r="W1189" s="4" t="s">
        <v>1967</v>
      </c>
    </row>
    <row r="1190" spans="22:23">
      <c r="V1190" s="4" t="s">
        <v>615</v>
      </c>
      <c r="W1190" s="4" t="s">
        <v>1968</v>
      </c>
    </row>
    <row r="1191" spans="22:23">
      <c r="V1191" s="4" t="s">
        <v>615</v>
      </c>
      <c r="W1191" s="4" t="s">
        <v>1969</v>
      </c>
    </row>
    <row r="1192" spans="22:23">
      <c r="V1192" s="4" t="s">
        <v>615</v>
      </c>
      <c r="W1192" s="4" t="s">
        <v>1970</v>
      </c>
    </row>
    <row r="1193" spans="22:23">
      <c r="V1193" s="4" t="s">
        <v>615</v>
      </c>
      <c r="W1193" s="4" t="s">
        <v>1209</v>
      </c>
    </row>
    <row r="1194" spans="22:23">
      <c r="V1194" s="4" t="s">
        <v>615</v>
      </c>
      <c r="W1194" s="4" t="s">
        <v>1971</v>
      </c>
    </row>
    <row r="1195" spans="22:23">
      <c r="V1195" s="4" t="s">
        <v>615</v>
      </c>
      <c r="W1195" s="4" t="s">
        <v>1496</v>
      </c>
    </row>
    <row r="1196" spans="22:23">
      <c r="V1196" s="4" t="s">
        <v>615</v>
      </c>
      <c r="W1196" s="4" t="s">
        <v>1497</v>
      </c>
    </row>
    <row r="1197" spans="22:23">
      <c r="V1197" s="4" t="s">
        <v>615</v>
      </c>
      <c r="W1197" s="4" t="s">
        <v>1972</v>
      </c>
    </row>
    <row r="1198" spans="22:23">
      <c r="V1198" s="4" t="s">
        <v>615</v>
      </c>
      <c r="W1198" s="4" t="s">
        <v>1973</v>
      </c>
    </row>
    <row r="1199" spans="22:23">
      <c r="V1199" s="4" t="s">
        <v>615</v>
      </c>
      <c r="W1199" s="4" t="s">
        <v>1974</v>
      </c>
    </row>
    <row r="1200" spans="22:23">
      <c r="V1200" s="4" t="s">
        <v>615</v>
      </c>
      <c r="W1200" s="4" t="s">
        <v>1954</v>
      </c>
    </row>
    <row r="1201" spans="22:23">
      <c r="V1201" s="4" t="s">
        <v>615</v>
      </c>
      <c r="W1201" s="4" t="s">
        <v>1975</v>
      </c>
    </row>
    <row r="1202" spans="22:23">
      <c r="V1202" s="4" t="s">
        <v>615</v>
      </c>
      <c r="W1202" s="4" t="s">
        <v>1976</v>
      </c>
    </row>
    <row r="1203" spans="22:23">
      <c r="V1203" s="4" t="s">
        <v>615</v>
      </c>
      <c r="W1203" s="4" t="s">
        <v>1977</v>
      </c>
    </row>
    <row r="1204" spans="22:23">
      <c r="V1204" s="4" t="s">
        <v>615</v>
      </c>
      <c r="W1204" s="4" t="s">
        <v>1978</v>
      </c>
    </row>
    <row r="1205" spans="22:23">
      <c r="V1205" s="4" t="s">
        <v>623</v>
      </c>
      <c r="W1205" s="4" t="s">
        <v>1211</v>
      </c>
    </row>
    <row r="1206" spans="22:23">
      <c r="V1206" s="4" t="s">
        <v>623</v>
      </c>
      <c r="W1206" s="4" t="s">
        <v>1498</v>
      </c>
    </row>
    <row r="1207" spans="22:23">
      <c r="V1207" s="4" t="s">
        <v>623</v>
      </c>
      <c r="W1207" s="4" t="s">
        <v>1213</v>
      </c>
    </row>
    <row r="1208" spans="22:23">
      <c r="V1208" s="4" t="s">
        <v>623</v>
      </c>
      <c r="W1208" s="4" t="s">
        <v>1499</v>
      </c>
    </row>
    <row r="1209" spans="22:23">
      <c r="V1209" s="4" t="s">
        <v>623</v>
      </c>
      <c r="W1209" s="4" t="s">
        <v>1500</v>
      </c>
    </row>
    <row r="1210" spans="22:23">
      <c r="V1210" s="4" t="s">
        <v>623</v>
      </c>
      <c r="W1210" s="4" t="s">
        <v>1502</v>
      </c>
    </row>
    <row r="1211" spans="22:23">
      <c r="V1211" s="4" t="s">
        <v>623</v>
      </c>
      <c r="W1211" s="4" t="s">
        <v>1979</v>
      </c>
    </row>
    <row r="1212" spans="22:23">
      <c r="V1212" s="4" t="s">
        <v>623</v>
      </c>
      <c r="W1212" s="4" t="s">
        <v>1503</v>
      </c>
    </row>
    <row r="1213" spans="22:23">
      <c r="V1213" s="4" t="s">
        <v>623</v>
      </c>
      <c r="W1213" s="4" t="s">
        <v>1215</v>
      </c>
    </row>
    <row r="1214" spans="22:23">
      <c r="V1214" s="4" t="s">
        <v>623</v>
      </c>
      <c r="W1214" s="4" t="s">
        <v>1504</v>
      </c>
    </row>
    <row r="1215" spans="22:23">
      <c r="V1215" s="4" t="s">
        <v>623</v>
      </c>
      <c r="W1215" s="4" t="s">
        <v>1505</v>
      </c>
    </row>
    <row r="1216" spans="22:23">
      <c r="V1216" s="4" t="s">
        <v>623</v>
      </c>
      <c r="W1216" s="4" t="s">
        <v>1506</v>
      </c>
    </row>
    <row r="1217" spans="22:23">
      <c r="V1217" s="4" t="s">
        <v>623</v>
      </c>
      <c r="W1217" s="4" t="s">
        <v>1508</v>
      </c>
    </row>
    <row r="1218" spans="22:23">
      <c r="V1218" s="4" t="s">
        <v>623</v>
      </c>
      <c r="W1218" s="4" t="s">
        <v>1510</v>
      </c>
    </row>
    <row r="1219" spans="22:23">
      <c r="V1219" s="4" t="s">
        <v>623</v>
      </c>
      <c r="W1219" s="4" t="s">
        <v>1512</v>
      </c>
    </row>
    <row r="1220" spans="22:23">
      <c r="V1220" s="4" t="s">
        <v>623</v>
      </c>
      <c r="W1220" s="4" t="s">
        <v>1513</v>
      </c>
    </row>
    <row r="1221" spans="22:23">
      <c r="V1221" s="4" t="s">
        <v>623</v>
      </c>
      <c r="W1221" s="4" t="s">
        <v>1514</v>
      </c>
    </row>
    <row r="1222" spans="22:23">
      <c r="V1222" s="4" t="s">
        <v>623</v>
      </c>
      <c r="W1222" s="4" t="s">
        <v>1367</v>
      </c>
    </row>
    <row r="1223" spans="22:23">
      <c r="V1223" s="4" t="s">
        <v>623</v>
      </c>
      <c r="W1223" s="4" t="s">
        <v>1516</v>
      </c>
    </row>
    <row r="1224" spans="22:23">
      <c r="V1224" s="4" t="s">
        <v>623</v>
      </c>
      <c r="W1224" s="4" t="s">
        <v>1517</v>
      </c>
    </row>
    <row r="1225" spans="22:23">
      <c r="V1225" s="4" t="s">
        <v>623</v>
      </c>
      <c r="W1225" s="4" t="s">
        <v>1519</v>
      </c>
    </row>
    <row r="1226" spans="22:23">
      <c r="V1226" s="4" t="s">
        <v>623</v>
      </c>
      <c r="W1226" s="4" t="s">
        <v>1980</v>
      </c>
    </row>
    <row r="1227" spans="22:23">
      <c r="V1227" s="4" t="s">
        <v>623</v>
      </c>
      <c r="W1227" s="4" t="s">
        <v>1981</v>
      </c>
    </row>
    <row r="1228" spans="22:23">
      <c r="V1228" s="4" t="s">
        <v>623</v>
      </c>
      <c r="W1228" s="4" t="s">
        <v>1521</v>
      </c>
    </row>
    <row r="1229" spans="22:23">
      <c r="V1229" s="4" t="s">
        <v>623</v>
      </c>
      <c r="W1229" s="4" t="s">
        <v>1522</v>
      </c>
    </row>
    <row r="1230" spans="22:23">
      <c r="V1230" s="4" t="s">
        <v>623</v>
      </c>
      <c r="W1230" s="4" t="s">
        <v>1524</v>
      </c>
    </row>
    <row r="1231" spans="22:23">
      <c r="V1231" s="4" t="s">
        <v>623</v>
      </c>
      <c r="W1231" s="4" t="s">
        <v>1525</v>
      </c>
    </row>
    <row r="1232" spans="22:23">
      <c r="V1232" s="4" t="s">
        <v>623</v>
      </c>
      <c r="W1232" s="4" t="s">
        <v>1526</v>
      </c>
    </row>
    <row r="1233" spans="22:23">
      <c r="V1233" s="4" t="s">
        <v>623</v>
      </c>
      <c r="W1233" s="4" t="s">
        <v>1982</v>
      </c>
    </row>
    <row r="1234" spans="22:23">
      <c r="V1234" s="4" t="s">
        <v>623</v>
      </c>
      <c r="W1234" s="4" t="s">
        <v>1983</v>
      </c>
    </row>
    <row r="1235" spans="22:23">
      <c r="V1235" s="4" t="s">
        <v>623</v>
      </c>
      <c r="W1235" s="4" t="s">
        <v>1984</v>
      </c>
    </row>
    <row r="1236" spans="22:23">
      <c r="V1236" s="4" t="s">
        <v>623</v>
      </c>
      <c r="W1236" s="4" t="s">
        <v>1985</v>
      </c>
    </row>
    <row r="1237" spans="22:23">
      <c r="V1237" s="4" t="s">
        <v>623</v>
      </c>
      <c r="W1237" s="4" t="s">
        <v>1986</v>
      </c>
    </row>
    <row r="1238" spans="22:23">
      <c r="V1238" s="4" t="s">
        <v>623</v>
      </c>
      <c r="W1238" s="4" t="s">
        <v>1987</v>
      </c>
    </row>
    <row r="1239" spans="22:23">
      <c r="V1239" s="4" t="s">
        <v>623</v>
      </c>
      <c r="W1239" s="4" t="s">
        <v>1988</v>
      </c>
    </row>
    <row r="1240" spans="22:23">
      <c r="V1240" s="4" t="s">
        <v>623</v>
      </c>
      <c r="W1240" s="4" t="s">
        <v>1989</v>
      </c>
    </row>
    <row r="1241" spans="22:23">
      <c r="V1241" s="4" t="s">
        <v>623</v>
      </c>
      <c r="W1241" s="4" t="s">
        <v>1990</v>
      </c>
    </row>
    <row r="1242" spans="22:23">
      <c r="V1242" s="4" t="s">
        <v>623</v>
      </c>
      <c r="W1242" s="4" t="s">
        <v>1802</v>
      </c>
    </row>
    <row r="1243" spans="22:23">
      <c r="V1243" s="4" t="s">
        <v>623</v>
      </c>
      <c r="W1243" s="4" t="s">
        <v>1991</v>
      </c>
    </row>
    <row r="1244" spans="22:23">
      <c r="V1244" s="4" t="s">
        <v>632</v>
      </c>
      <c r="W1244" s="4" t="s">
        <v>1217</v>
      </c>
    </row>
    <row r="1245" spans="22:23">
      <c r="V1245" s="4" t="s">
        <v>632</v>
      </c>
      <c r="W1245" s="4" t="s">
        <v>1992</v>
      </c>
    </row>
    <row r="1246" spans="22:23">
      <c r="V1246" s="4" t="s">
        <v>632</v>
      </c>
      <c r="W1246" s="4" t="s">
        <v>1219</v>
      </c>
    </row>
    <row r="1247" spans="22:23">
      <c r="V1247" s="4" t="s">
        <v>632</v>
      </c>
      <c r="W1247" s="4" t="s">
        <v>1993</v>
      </c>
    </row>
    <row r="1248" spans="22:23">
      <c r="V1248" s="4" t="s">
        <v>632</v>
      </c>
      <c r="W1248" s="4" t="s">
        <v>1994</v>
      </c>
    </row>
    <row r="1249" spans="22:23">
      <c r="V1249" s="4" t="s">
        <v>632</v>
      </c>
      <c r="W1249" s="4" t="s">
        <v>1995</v>
      </c>
    </row>
    <row r="1250" spans="22:23">
      <c r="V1250" s="4" t="s">
        <v>632</v>
      </c>
      <c r="W1250" s="4" t="s">
        <v>1996</v>
      </c>
    </row>
    <row r="1251" spans="22:23">
      <c r="V1251" s="4" t="s">
        <v>632</v>
      </c>
      <c r="W1251" s="4" t="s">
        <v>1997</v>
      </c>
    </row>
    <row r="1252" spans="22:23">
      <c r="V1252" s="4" t="s">
        <v>632</v>
      </c>
      <c r="W1252" s="4" t="s">
        <v>1998</v>
      </c>
    </row>
    <row r="1253" spans="22:23">
      <c r="V1253" s="4" t="s">
        <v>632</v>
      </c>
      <c r="W1253" s="4" t="s">
        <v>1999</v>
      </c>
    </row>
    <row r="1254" spans="22:23">
      <c r="V1254" s="4" t="s">
        <v>632</v>
      </c>
      <c r="W1254" s="4" t="s">
        <v>2000</v>
      </c>
    </row>
    <row r="1255" spans="22:23">
      <c r="V1255" s="4" t="s">
        <v>632</v>
      </c>
      <c r="W1255" s="4" t="s">
        <v>2001</v>
      </c>
    </row>
    <row r="1256" spans="22:23">
      <c r="V1256" s="4" t="s">
        <v>632</v>
      </c>
      <c r="W1256" s="4" t="s">
        <v>2002</v>
      </c>
    </row>
    <row r="1257" spans="22:23">
      <c r="V1257" s="4" t="s">
        <v>632</v>
      </c>
      <c r="W1257" s="4" t="s">
        <v>2003</v>
      </c>
    </row>
    <row r="1258" spans="22:23">
      <c r="V1258" s="4" t="s">
        <v>632</v>
      </c>
      <c r="W1258" s="4" t="s">
        <v>2004</v>
      </c>
    </row>
    <row r="1259" spans="22:23">
      <c r="V1259" s="4" t="s">
        <v>632</v>
      </c>
      <c r="W1259" s="4" t="s">
        <v>2005</v>
      </c>
    </row>
    <row r="1260" spans="22:23">
      <c r="V1260" s="4" t="s">
        <v>632</v>
      </c>
      <c r="W1260" s="4" t="s">
        <v>1756</v>
      </c>
    </row>
    <row r="1261" spans="22:23">
      <c r="V1261" s="4" t="s">
        <v>632</v>
      </c>
      <c r="W1261" s="4" t="s">
        <v>961</v>
      </c>
    </row>
    <row r="1262" spans="22:23">
      <c r="V1262" s="4" t="s">
        <v>632</v>
      </c>
      <c r="W1262" s="4" t="s">
        <v>2006</v>
      </c>
    </row>
    <row r="1263" spans="22:23">
      <c r="V1263" s="4" t="s">
        <v>632</v>
      </c>
      <c r="W1263" s="4" t="s">
        <v>2007</v>
      </c>
    </row>
    <row r="1264" spans="22:23">
      <c r="V1264" s="4" t="s">
        <v>632</v>
      </c>
      <c r="W1264" s="4" t="s">
        <v>2008</v>
      </c>
    </row>
    <row r="1265" spans="22:23">
      <c r="V1265" s="4" t="s">
        <v>632</v>
      </c>
      <c r="W1265" s="4" t="s">
        <v>2009</v>
      </c>
    </row>
    <row r="1266" spans="22:23">
      <c r="V1266" s="4" t="s">
        <v>632</v>
      </c>
      <c r="W1266" s="4" t="s">
        <v>2010</v>
      </c>
    </row>
    <row r="1267" spans="22:23">
      <c r="V1267" s="4" t="s">
        <v>632</v>
      </c>
      <c r="W1267" s="4" t="s">
        <v>2011</v>
      </c>
    </row>
    <row r="1268" spans="22:23">
      <c r="V1268" s="4" t="s">
        <v>632</v>
      </c>
      <c r="W1268" s="4" t="s">
        <v>2012</v>
      </c>
    </row>
    <row r="1269" spans="22:23">
      <c r="V1269" s="4" t="s">
        <v>632</v>
      </c>
      <c r="W1269" s="4" t="s">
        <v>2013</v>
      </c>
    </row>
    <row r="1270" spans="22:23">
      <c r="V1270" s="4" t="s">
        <v>632</v>
      </c>
      <c r="W1270" s="4" t="s">
        <v>2014</v>
      </c>
    </row>
    <row r="1271" spans="22:23">
      <c r="V1271" s="4" t="s">
        <v>632</v>
      </c>
      <c r="W1271" s="4" t="s">
        <v>2015</v>
      </c>
    </row>
    <row r="1272" spans="22:23">
      <c r="V1272" s="4" t="s">
        <v>632</v>
      </c>
      <c r="W1272" s="4" t="s">
        <v>2016</v>
      </c>
    </row>
    <row r="1273" spans="22:23">
      <c r="V1273" s="4" t="s">
        <v>632</v>
      </c>
      <c r="W1273" s="4" t="s">
        <v>2017</v>
      </c>
    </row>
    <row r="1274" spans="22:23">
      <c r="V1274" s="4" t="s">
        <v>641</v>
      </c>
      <c r="W1274" s="4" t="s">
        <v>2018</v>
      </c>
    </row>
    <row r="1275" spans="22:23">
      <c r="V1275" s="4" t="s">
        <v>641</v>
      </c>
      <c r="W1275" s="4" t="s">
        <v>2019</v>
      </c>
    </row>
    <row r="1276" spans="22:23">
      <c r="V1276" s="4" t="s">
        <v>641</v>
      </c>
      <c r="W1276" s="4" t="s">
        <v>2020</v>
      </c>
    </row>
    <row r="1277" spans="22:23">
      <c r="V1277" s="4" t="s">
        <v>641</v>
      </c>
      <c r="W1277" s="4" t="s">
        <v>2021</v>
      </c>
    </row>
    <row r="1278" spans="22:23">
      <c r="V1278" s="4" t="s">
        <v>641</v>
      </c>
      <c r="W1278" s="4" t="s">
        <v>2022</v>
      </c>
    </row>
    <row r="1279" spans="22:23">
      <c r="V1279" s="4" t="s">
        <v>641</v>
      </c>
      <c r="W1279" s="4" t="s">
        <v>2023</v>
      </c>
    </row>
    <row r="1280" spans="22:23">
      <c r="V1280" s="4" t="s">
        <v>641</v>
      </c>
      <c r="W1280" s="4" t="s">
        <v>2024</v>
      </c>
    </row>
    <row r="1281" spans="22:23">
      <c r="V1281" s="4" t="s">
        <v>641</v>
      </c>
      <c r="W1281" s="4" t="s">
        <v>2025</v>
      </c>
    </row>
    <row r="1282" spans="22:23">
      <c r="V1282" s="4" t="s">
        <v>641</v>
      </c>
      <c r="W1282" s="4" t="s">
        <v>2026</v>
      </c>
    </row>
    <row r="1283" spans="22:23">
      <c r="V1283" s="4" t="s">
        <v>641</v>
      </c>
      <c r="W1283" s="4" t="s">
        <v>2027</v>
      </c>
    </row>
    <row r="1284" spans="22:23">
      <c r="V1284" s="4" t="s">
        <v>641</v>
      </c>
      <c r="W1284" s="4" t="s">
        <v>2028</v>
      </c>
    </row>
    <row r="1285" spans="22:23">
      <c r="V1285" s="4" t="s">
        <v>641</v>
      </c>
      <c r="W1285" s="4" t="s">
        <v>2029</v>
      </c>
    </row>
    <row r="1286" spans="22:23">
      <c r="V1286" s="4" t="s">
        <v>641</v>
      </c>
      <c r="W1286" s="4" t="s">
        <v>2030</v>
      </c>
    </row>
    <row r="1287" spans="22:23">
      <c r="V1287" s="4" t="s">
        <v>641</v>
      </c>
      <c r="W1287" s="4" t="s">
        <v>2031</v>
      </c>
    </row>
    <row r="1288" spans="22:23">
      <c r="V1288" s="4" t="s">
        <v>641</v>
      </c>
      <c r="W1288" s="4" t="s">
        <v>1119</v>
      </c>
    </row>
    <row r="1289" spans="22:23">
      <c r="V1289" s="4" t="s">
        <v>641</v>
      </c>
      <c r="W1289" s="4" t="s">
        <v>2032</v>
      </c>
    </row>
    <row r="1290" spans="22:23">
      <c r="V1290" s="4" t="s">
        <v>641</v>
      </c>
      <c r="W1290" s="4" t="s">
        <v>2033</v>
      </c>
    </row>
    <row r="1291" spans="22:23">
      <c r="V1291" s="4" t="s">
        <v>641</v>
      </c>
      <c r="W1291" s="4" t="s">
        <v>1933</v>
      </c>
    </row>
    <row r="1292" spans="22:23">
      <c r="V1292" s="4" t="s">
        <v>641</v>
      </c>
      <c r="W1292" s="4" t="s">
        <v>2034</v>
      </c>
    </row>
    <row r="1293" spans="22:23">
      <c r="V1293" s="4" t="s">
        <v>651</v>
      </c>
      <c r="W1293" s="4" t="s">
        <v>2035</v>
      </c>
    </row>
    <row r="1294" spans="22:23">
      <c r="V1294" s="4" t="s">
        <v>651</v>
      </c>
      <c r="W1294" s="4" t="s">
        <v>2036</v>
      </c>
    </row>
    <row r="1295" spans="22:23">
      <c r="V1295" s="4" t="s">
        <v>651</v>
      </c>
      <c r="W1295" s="4" t="s">
        <v>2037</v>
      </c>
    </row>
    <row r="1296" spans="22:23">
      <c r="V1296" s="4" t="s">
        <v>651</v>
      </c>
      <c r="W1296" s="4" t="s">
        <v>2038</v>
      </c>
    </row>
    <row r="1297" spans="22:23">
      <c r="V1297" s="4" t="s">
        <v>651</v>
      </c>
      <c r="W1297" s="4" t="s">
        <v>2039</v>
      </c>
    </row>
    <row r="1298" spans="22:23">
      <c r="V1298" s="4" t="s">
        <v>651</v>
      </c>
      <c r="W1298" s="4" t="s">
        <v>2040</v>
      </c>
    </row>
    <row r="1299" spans="22:23">
      <c r="V1299" s="4" t="s">
        <v>651</v>
      </c>
      <c r="W1299" s="4" t="s">
        <v>2041</v>
      </c>
    </row>
    <row r="1300" spans="22:23">
      <c r="V1300" s="4" t="s">
        <v>651</v>
      </c>
      <c r="W1300" s="4" t="s">
        <v>2042</v>
      </c>
    </row>
    <row r="1301" spans="22:23">
      <c r="V1301" s="4" t="s">
        <v>651</v>
      </c>
      <c r="W1301" s="4" t="s">
        <v>2043</v>
      </c>
    </row>
    <row r="1302" spans="22:23">
      <c r="V1302" s="4" t="s">
        <v>651</v>
      </c>
      <c r="W1302" s="4" t="s">
        <v>2044</v>
      </c>
    </row>
    <row r="1303" spans="22:23">
      <c r="V1303" s="4" t="s">
        <v>651</v>
      </c>
      <c r="W1303" s="4" t="s">
        <v>2045</v>
      </c>
    </row>
    <row r="1304" spans="22:23">
      <c r="V1304" s="4" t="s">
        <v>651</v>
      </c>
      <c r="W1304" s="4" t="s">
        <v>1305</v>
      </c>
    </row>
    <row r="1305" spans="22:23">
      <c r="V1305" s="4" t="s">
        <v>651</v>
      </c>
      <c r="W1305" s="4" t="s">
        <v>2046</v>
      </c>
    </row>
    <row r="1306" spans="22:23">
      <c r="V1306" s="4" t="s">
        <v>651</v>
      </c>
      <c r="W1306" s="4" t="s">
        <v>2047</v>
      </c>
    </row>
    <row r="1307" spans="22:23">
      <c r="V1307" s="4" t="s">
        <v>651</v>
      </c>
      <c r="W1307" s="4" t="s">
        <v>2048</v>
      </c>
    </row>
    <row r="1308" spans="22:23">
      <c r="V1308" s="4" t="s">
        <v>651</v>
      </c>
      <c r="W1308" s="4" t="s">
        <v>2049</v>
      </c>
    </row>
    <row r="1309" spans="22:23">
      <c r="V1309" s="4" t="s">
        <v>651</v>
      </c>
      <c r="W1309" s="4" t="s">
        <v>2050</v>
      </c>
    </row>
    <row r="1310" spans="22:23">
      <c r="V1310" s="4" t="s">
        <v>651</v>
      </c>
      <c r="W1310" s="4" t="s">
        <v>2051</v>
      </c>
    </row>
    <row r="1311" spans="22:23">
      <c r="V1311" s="4" t="s">
        <v>651</v>
      </c>
      <c r="W1311" s="4" t="s">
        <v>2052</v>
      </c>
    </row>
    <row r="1312" spans="22:23">
      <c r="V1312" s="4" t="s">
        <v>661</v>
      </c>
      <c r="W1312" s="4" t="s">
        <v>1527</v>
      </c>
    </row>
    <row r="1313" spans="22:23">
      <c r="V1313" s="4" t="s">
        <v>661</v>
      </c>
      <c r="W1313" s="4" t="s">
        <v>2053</v>
      </c>
    </row>
    <row r="1314" spans="22:23">
      <c r="V1314" s="4" t="s">
        <v>661</v>
      </c>
      <c r="W1314" s="4" t="s">
        <v>2054</v>
      </c>
    </row>
    <row r="1315" spans="22:23">
      <c r="V1315" s="4" t="s">
        <v>661</v>
      </c>
      <c r="W1315" s="4" t="s">
        <v>2055</v>
      </c>
    </row>
    <row r="1316" spans="22:23">
      <c r="V1316" s="4" t="s">
        <v>661</v>
      </c>
      <c r="W1316" s="4" t="s">
        <v>2056</v>
      </c>
    </row>
    <row r="1317" spans="22:23">
      <c r="V1317" s="4" t="s">
        <v>661</v>
      </c>
      <c r="W1317" s="4" t="s">
        <v>2057</v>
      </c>
    </row>
    <row r="1318" spans="22:23">
      <c r="V1318" s="4" t="s">
        <v>661</v>
      </c>
      <c r="W1318" s="4" t="s">
        <v>2058</v>
      </c>
    </row>
    <row r="1319" spans="22:23">
      <c r="V1319" s="4" t="s">
        <v>661</v>
      </c>
      <c r="W1319" s="4" t="s">
        <v>2059</v>
      </c>
    </row>
    <row r="1320" spans="22:23">
      <c r="V1320" s="4" t="s">
        <v>661</v>
      </c>
      <c r="W1320" s="4" t="s">
        <v>2060</v>
      </c>
    </row>
    <row r="1321" spans="22:23">
      <c r="V1321" s="4" t="s">
        <v>661</v>
      </c>
      <c r="W1321" s="4" t="s">
        <v>2061</v>
      </c>
    </row>
    <row r="1322" spans="22:23">
      <c r="V1322" s="4" t="s">
        <v>661</v>
      </c>
      <c r="W1322" s="4" t="s">
        <v>2062</v>
      </c>
    </row>
    <row r="1323" spans="22:23">
      <c r="V1323" s="4" t="s">
        <v>661</v>
      </c>
      <c r="W1323" s="4" t="s">
        <v>2063</v>
      </c>
    </row>
    <row r="1324" spans="22:23">
      <c r="V1324" s="4" t="s">
        <v>661</v>
      </c>
      <c r="W1324" s="4" t="s">
        <v>2064</v>
      </c>
    </row>
    <row r="1325" spans="22:23">
      <c r="V1325" s="4" t="s">
        <v>661</v>
      </c>
      <c r="W1325" s="4" t="s">
        <v>2065</v>
      </c>
    </row>
    <row r="1326" spans="22:23">
      <c r="V1326" s="4" t="s">
        <v>661</v>
      </c>
      <c r="W1326" s="4" t="s">
        <v>2066</v>
      </c>
    </row>
    <row r="1327" spans="22:23">
      <c r="V1327" s="4" t="s">
        <v>661</v>
      </c>
      <c r="W1327" s="4" t="s">
        <v>2067</v>
      </c>
    </row>
    <row r="1328" spans="22:23">
      <c r="V1328" s="4" t="s">
        <v>661</v>
      </c>
      <c r="W1328" s="4" t="s">
        <v>2068</v>
      </c>
    </row>
    <row r="1329" spans="22:23">
      <c r="V1329" s="4" t="s">
        <v>661</v>
      </c>
      <c r="W1329" s="4" t="s">
        <v>2069</v>
      </c>
    </row>
    <row r="1330" spans="22:23">
      <c r="V1330" s="4" t="s">
        <v>661</v>
      </c>
      <c r="W1330" s="4" t="s">
        <v>2070</v>
      </c>
    </row>
    <row r="1331" spans="22:23">
      <c r="V1331" s="4" t="s">
        <v>661</v>
      </c>
      <c r="W1331" s="4" t="s">
        <v>2071</v>
      </c>
    </row>
    <row r="1332" spans="22:23">
      <c r="V1332" s="4" t="s">
        <v>661</v>
      </c>
      <c r="W1332" s="4" t="s">
        <v>2072</v>
      </c>
    </row>
    <row r="1333" spans="22:23">
      <c r="V1333" s="4" t="s">
        <v>661</v>
      </c>
      <c r="W1333" s="4" t="s">
        <v>2073</v>
      </c>
    </row>
    <row r="1334" spans="22:23">
      <c r="V1334" s="4" t="s">
        <v>661</v>
      </c>
      <c r="W1334" s="4" t="s">
        <v>2074</v>
      </c>
    </row>
    <row r="1335" spans="22:23">
      <c r="V1335" s="4" t="s">
        <v>661</v>
      </c>
      <c r="W1335" s="4" t="s">
        <v>2075</v>
      </c>
    </row>
    <row r="1336" spans="22:23">
      <c r="V1336" s="4" t="s">
        <v>661</v>
      </c>
      <c r="W1336" s="4" t="s">
        <v>2076</v>
      </c>
    </row>
    <row r="1337" spans="22:23">
      <c r="V1337" s="4" t="s">
        <v>661</v>
      </c>
      <c r="W1337" s="4" t="s">
        <v>2077</v>
      </c>
    </row>
    <row r="1338" spans="22:23">
      <c r="V1338" s="4" t="s">
        <v>661</v>
      </c>
      <c r="W1338" s="4" t="s">
        <v>2078</v>
      </c>
    </row>
    <row r="1339" spans="22:23">
      <c r="V1339" s="4" t="s">
        <v>668</v>
      </c>
      <c r="W1339" s="4" t="s">
        <v>951</v>
      </c>
    </row>
    <row r="1340" spans="22:23">
      <c r="V1340" s="4" t="s">
        <v>668</v>
      </c>
      <c r="W1340" s="4" t="s">
        <v>2079</v>
      </c>
    </row>
    <row r="1341" spans="22:23">
      <c r="V1341" s="4" t="s">
        <v>668</v>
      </c>
      <c r="W1341" s="4" t="s">
        <v>2080</v>
      </c>
    </row>
    <row r="1342" spans="22:23">
      <c r="V1342" s="4" t="s">
        <v>668</v>
      </c>
      <c r="W1342" s="4" t="s">
        <v>2081</v>
      </c>
    </row>
    <row r="1343" spans="22:23">
      <c r="V1343" s="4" t="s">
        <v>668</v>
      </c>
      <c r="W1343" s="4" t="s">
        <v>2082</v>
      </c>
    </row>
    <row r="1344" spans="22:23">
      <c r="V1344" s="4" t="s">
        <v>668</v>
      </c>
      <c r="W1344" s="4" t="s">
        <v>2083</v>
      </c>
    </row>
    <row r="1345" spans="22:23">
      <c r="V1345" s="4" t="s">
        <v>668</v>
      </c>
      <c r="W1345" s="4" t="s">
        <v>1658</v>
      </c>
    </row>
    <row r="1346" spans="22:23">
      <c r="V1346" s="4" t="s">
        <v>668</v>
      </c>
      <c r="W1346" s="4" t="s">
        <v>2084</v>
      </c>
    </row>
    <row r="1347" spans="22:23">
      <c r="V1347" s="4" t="s">
        <v>668</v>
      </c>
      <c r="W1347" s="4" t="s">
        <v>2085</v>
      </c>
    </row>
    <row r="1348" spans="22:23">
      <c r="V1348" s="4" t="s">
        <v>668</v>
      </c>
      <c r="W1348" s="4" t="s">
        <v>2086</v>
      </c>
    </row>
    <row r="1349" spans="22:23">
      <c r="V1349" s="4" t="s">
        <v>668</v>
      </c>
      <c r="W1349" s="4" t="s">
        <v>1528</v>
      </c>
    </row>
    <row r="1350" spans="22:23">
      <c r="V1350" s="4" t="s">
        <v>668</v>
      </c>
      <c r="W1350" s="4" t="s">
        <v>1530</v>
      </c>
    </row>
    <row r="1351" spans="22:23">
      <c r="V1351" s="4" t="s">
        <v>668</v>
      </c>
      <c r="W1351" s="4" t="s">
        <v>2087</v>
      </c>
    </row>
    <row r="1352" spans="22:23">
      <c r="V1352" s="4" t="s">
        <v>668</v>
      </c>
      <c r="W1352" s="4" t="s">
        <v>2088</v>
      </c>
    </row>
    <row r="1353" spans="22:23">
      <c r="V1353" s="4" t="s">
        <v>668</v>
      </c>
      <c r="W1353" s="4" t="s">
        <v>953</v>
      </c>
    </row>
    <row r="1354" spans="22:23">
      <c r="V1354" s="4" t="s">
        <v>668</v>
      </c>
      <c r="W1354" s="4" t="s">
        <v>1532</v>
      </c>
    </row>
    <row r="1355" spans="22:23">
      <c r="V1355" s="4" t="s">
        <v>668</v>
      </c>
      <c r="W1355" s="4" t="s">
        <v>2089</v>
      </c>
    </row>
    <row r="1356" spans="22:23">
      <c r="V1356" s="4" t="s">
        <v>668</v>
      </c>
      <c r="W1356" s="4" t="s">
        <v>1536</v>
      </c>
    </row>
    <row r="1357" spans="22:23">
      <c r="V1357" s="4" t="s">
        <v>668</v>
      </c>
      <c r="W1357" s="4" t="s">
        <v>2090</v>
      </c>
    </row>
    <row r="1358" spans="22:23">
      <c r="V1358" s="4" t="s">
        <v>668</v>
      </c>
      <c r="W1358" s="4" t="s">
        <v>2091</v>
      </c>
    </row>
    <row r="1359" spans="22:23">
      <c r="V1359" s="4" t="s">
        <v>668</v>
      </c>
      <c r="W1359" s="4" t="s">
        <v>2092</v>
      </c>
    </row>
    <row r="1360" spans="22:23">
      <c r="V1360" s="4" t="s">
        <v>668</v>
      </c>
      <c r="W1360" s="4" t="s">
        <v>2093</v>
      </c>
    </row>
    <row r="1361" spans="22:23">
      <c r="V1361" s="4" t="s">
        <v>668</v>
      </c>
      <c r="W1361" s="4" t="s">
        <v>2094</v>
      </c>
    </row>
    <row r="1362" spans="22:23">
      <c r="V1362" s="4" t="s">
        <v>673</v>
      </c>
      <c r="W1362" s="4" t="s">
        <v>2095</v>
      </c>
    </row>
    <row r="1363" spans="22:23">
      <c r="V1363" s="4" t="s">
        <v>673</v>
      </c>
      <c r="W1363" s="4" t="s">
        <v>2096</v>
      </c>
    </row>
    <row r="1364" spans="22:23">
      <c r="V1364" s="4" t="s">
        <v>673</v>
      </c>
      <c r="W1364" s="4" t="s">
        <v>2097</v>
      </c>
    </row>
    <row r="1365" spans="22:23">
      <c r="V1365" s="4" t="s">
        <v>673</v>
      </c>
      <c r="W1365" s="4" t="s">
        <v>2098</v>
      </c>
    </row>
    <row r="1366" spans="22:23">
      <c r="V1366" s="4" t="s">
        <v>673</v>
      </c>
      <c r="W1366" s="4" t="s">
        <v>2099</v>
      </c>
    </row>
    <row r="1367" spans="22:23">
      <c r="V1367" s="4" t="s">
        <v>673</v>
      </c>
      <c r="W1367" s="4" t="s">
        <v>2100</v>
      </c>
    </row>
    <row r="1368" spans="22:23">
      <c r="V1368" s="4" t="s">
        <v>673</v>
      </c>
      <c r="W1368" s="4" t="s">
        <v>2101</v>
      </c>
    </row>
    <row r="1369" spans="22:23">
      <c r="V1369" s="4" t="s">
        <v>673</v>
      </c>
      <c r="W1369" s="4" t="s">
        <v>2102</v>
      </c>
    </row>
    <row r="1370" spans="22:23">
      <c r="V1370" s="4" t="s">
        <v>673</v>
      </c>
      <c r="W1370" s="4" t="s">
        <v>2103</v>
      </c>
    </row>
    <row r="1371" spans="22:23">
      <c r="V1371" s="4" t="s">
        <v>673</v>
      </c>
      <c r="W1371" s="4" t="s">
        <v>2104</v>
      </c>
    </row>
    <row r="1372" spans="22:23">
      <c r="V1372" s="4" t="s">
        <v>673</v>
      </c>
      <c r="W1372" s="4" t="s">
        <v>2105</v>
      </c>
    </row>
    <row r="1373" spans="22:23">
      <c r="V1373" s="4" t="s">
        <v>673</v>
      </c>
      <c r="W1373" s="4" t="s">
        <v>1538</v>
      </c>
    </row>
    <row r="1374" spans="22:23">
      <c r="V1374" s="4" t="s">
        <v>673</v>
      </c>
      <c r="W1374" s="4" t="s">
        <v>2106</v>
      </c>
    </row>
    <row r="1375" spans="22:23">
      <c r="V1375" s="4" t="s">
        <v>673</v>
      </c>
      <c r="W1375" s="4" t="s">
        <v>2107</v>
      </c>
    </row>
    <row r="1376" spans="22:23">
      <c r="V1376" s="4" t="s">
        <v>673</v>
      </c>
      <c r="W1376" s="4" t="s">
        <v>2108</v>
      </c>
    </row>
    <row r="1377" spans="22:23">
      <c r="V1377" s="4" t="s">
        <v>673</v>
      </c>
      <c r="W1377" s="4" t="s">
        <v>2109</v>
      </c>
    </row>
    <row r="1378" spans="22:23">
      <c r="V1378" s="4" t="s">
        <v>673</v>
      </c>
      <c r="W1378" s="4" t="s">
        <v>2110</v>
      </c>
    </row>
    <row r="1379" spans="22:23">
      <c r="V1379" s="4" t="s">
        <v>673</v>
      </c>
      <c r="W1379" s="4" t="s">
        <v>2111</v>
      </c>
    </row>
    <row r="1380" spans="22:23">
      <c r="V1380" s="4" t="s">
        <v>673</v>
      </c>
      <c r="W1380" s="4" t="s">
        <v>2112</v>
      </c>
    </row>
    <row r="1381" spans="22:23">
      <c r="V1381" s="4" t="s">
        <v>678</v>
      </c>
      <c r="W1381" s="4" t="s">
        <v>1539</v>
      </c>
    </row>
    <row r="1382" spans="22:23">
      <c r="V1382" s="4" t="s">
        <v>678</v>
      </c>
      <c r="W1382" s="4" t="s">
        <v>2113</v>
      </c>
    </row>
    <row r="1383" spans="22:23">
      <c r="V1383" s="4" t="s">
        <v>678</v>
      </c>
      <c r="W1383" s="4" t="s">
        <v>2114</v>
      </c>
    </row>
    <row r="1384" spans="22:23">
      <c r="V1384" s="4" t="s">
        <v>678</v>
      </c>
      <c r="W1384" s="4" t="s">
        <v>2115</v>
      </c>
    </row>
    <row r="1385" spans="22:23">
      <c r="V1385" s="4" t="s">
        <v>678</v>
      </c>
      <c r="W1385" s="4" t="s">
        <v>2116</v>
      </c>
    </row>
    <row r="1386" spans="22:23">
      <c r="V1386" s="4" t="s">
        <v>678</v>
      </c>
      <c r="W1386" s="4" t="s">
        <v>2117</v>
      </c>
    </row>
    <row r="1387" spans="22:23">
      <c r="V1387" s="4" t="s">
        <v>678</v>
      </c>
      <c r="W1387" s="4" t="s">
        <v>2118</v>
      </c>
    </row>
    <row r="1388" spans="22:23">
      <c r="V1388" s="4" t="s">
        <v>678</v>
      </c>
      <c r="W1388" s="4" t="s">
        <v>2119</v>
      </c>
    </row>
    <row r="1389" spans="22:23">
      <c r="V1389" s="4" t="s">
        <v>678</v>
      </c>
      <c r="W1389" s="4" t="s">
        <v>2120</v>
      </c>
    </row>
    <row r="1390" spans="22:23">
      <c r="V1390" s="4" t="s">
        <v>678</v>
      </c>
      <c r="W1390" s="4" t="s">
        <v>2121</v>
      </c>
    </row>
    <row r="1391" spans="22:23">
      <c r="V1391" s="4" t="s">
        <v>678</v>
      </c>
      <c r="W1391" s="4" t="s">
        <v>2122</v>
      </c>
    </row>
    <row r="1392" spans="22:23">
      <c r="V1392" s="4" t="s">
        <v>678</v>
      </c>
      <c r="W1392" s="4" t="s">
        <v>2123</v>
      </c>
    </row>
    <row r="1393" spans="22:23">
      <c r="V1393" s="4" t="s">
        <v>678</v>
      </c>
      <c r="W1393" s="4" t="s">
        <v>2124</v>
      </c>
    </row>
    <row r="1394" spans="22:23">
      <c r="V1394" s="4" t="s">
        <v>678</v>
      </c>
      <c r="W1394" s="4" t="s">
        <v>2125</v>
      </c>
    </row>
    <row r="1395" spans="22:23">
      <c r="V1395" s="4" t="s">
        <v>678</v>
      </c>
      <c r="W1395" s="4" t="s">
        <v>2126</v>
      </c>
    </row>
    <row r="1396" spans="22:23">
      <c r="V1396" s="4" t="s">
        <v>678</v>
      </c>
      <c r="W1396" s="4" t="s">
        <v>2127</v>
      </c>
    </row>
    <row r="1397" spans="22:23">
      <c r="V1397" s="4" t="s">
        <v>678</v>
      </c>
      <c r="W1397" s="4" t="s">
        <v>2128</v>
      </c>
    </row>
    <row r="1398" spans="22:23">
      <c r="V1398" s="4" t="s">
        <v>678</v>
      </c>
      <c r="W1398" s="4" t="s">
        <v>2129</v>
      </c>
    </row>
    <row r="1399" spans="22:23">
      <c r="V1399" s="4" t="s">
        <v>678</v>
      </c>
      <c r="W1399" s="4" t="s">
        <v>2130</v>
      </c>
    </row>
    <row r="1400" spans="22:23">
      <c r="V1400" s="4" t="s">
        <v>678</v>
      </c>
      <c r="W1400" s="4" t="s">
        <v>2131</v>
      </c>
    </row>
    <row r="1401" spans="22:23">
      <c r="V1401" s="4" t="s">
        <v>678</v>
      </c>
      <c r="W1401" s="4" t="s">
        <v>2132</v>
      </c>
    </row>
    <row r="1402" spans="22:23">
      <c r="V1402" s="4" t="s">
        <v>678</v>
      </c>
      <c r="W1402" s="4" t="s">
        <v>2133</v>
      </c>
    </row>
    <row r="1403" spans="22:23">
      <c r="V1403" s="4" t="s">
        <v>678</v>
      </c>
      <c r="W1403" s="4" t="s">
        <v>2134</v>
      </c>
    </row>
    <row r="1404" spans="22:23">
      <c r="V1404" s="4" t="s">
        <v>678</v>
      </c>
      <c r="W1404" s="4" t="s">
        <v>2135</v>
      </c>
    </row>
    <row r="1405" spans="22:23">
      <c r="V1405" s="4" t="s">
        <v>686</v>
      </c>
      <c r="W1405" s="4" t="s">
        <v>1541</v>
      </c>
    </row>
    <row r="1406" spans="22:23">
      <c r="V1406" s="4" t="s">
        <v>686</v>
      </c>
      <c r="W1406" s="4" t="s">
        <v>2136</v>
      </c>
    </row>
    <row r="1407" spans="22:23">
      <c r="V1407" s="4" t="s">
        <v>686</v>
      </c>
      <c r="W1407" s="4" t="s">
        <v>2137</v>
      </c>
    </row>
    <row r="1408" spans="22:23">
      <c r="V1408" s="4" t="s">
        <v>686</v>
      </c>
      <c r="W1408" s="4" t="s">
        <v>2138</v>
      </c>
    </row>
    <row r="1409" spans="22:23">
      <c r="V1409" s="4" t="s">
        <v>686</v>
      </c>
      <c r="W1409" s="4" t="s">
        <v>2139</v>
      </c>
    </row>
    <row r="1410" spans="22:23">
      <c r="V1410" s="4" t="s">
        <v>686</v>
      </c>
      <c r="W1410" s="4" t="s">
        <v>2140</v>
      </c>
    </row>
    <row r="1411" spans="22:23">
      <c r="V1411" s="4" t="s">
        <v>686</v>
      </c>
      <c r="W1411" s="4" t="s">
        <v>2141</v>
      </c>
    </row>
    <row r="1412" spans="22:23">
      <c r="V1412" s="4" t="s">
        <v>686</v>
      </c>
      <c r="W1412" s="4" t="s">
        <v>2142</v>
      </c>
    </row>
    <row r="1413" spans="22:23">
      <c r="V1413" s="4" t="s">
        <v>686</v>
      </c>
      <c r="W1413" s="4" t="s">
        <v>2143</v>
      </c>
    </row>
    <row r="1414" spans="22:23">
      <c r="V1414" s="4" t="s">
        <v>686</v>
      </c>
      <c r="W1414" s="4" t="s">
        <v>2144</v>
      </c>
    </row>
    <row r="1415" spans="22:23">
      <c r="V1415" s="4" t="s">
        <v>686</v>
      </c>
      <c r="W1415" s="4" t="s">
        <v>2145</v>
      </c>
    </row>
    <row r="1416" spans="22:23">
      <c r="V1416" s="4" t="s">
        <v>686</v>
      </c>
      <c r="W1416" s="4" t="s">
        <v>2146</v>
      </c>
    </row>
    <row r="1417" spans="22:23">
      <c r="V1417" s="4" t="s">
        <v>686</v>
      </c>
      <c r="W1417" s="4" t="s">
        <v>2147</v>
      </c>
    </row>
    <row r="1418" spans="22:23">
      <c r="V1418" s="4" t="s">
        <v>686</v>
      </c>
      <c r="W1418" s="4" t="s">
        <v>2148</v>
      </c>
    </row>
    <row r="1419" spans="22:23">
      <c r="V1419" s="4" t="s">
        <v>686</v>
      </c>
      <c r="W1419" s="4" t="s">
        <v>2149</v>
      </c>
    </row>
    <row r="1420" spans="22:23">
      <c r="V1420" s="4" t="s">
        <v>686</v>
      </c>
      <c r="W1420" s="4" t="s">
        <v>2150</v>
      </c>
    </row>
    <row r="1421" spans="22:23">
      <c r="V1421" s="4" t="s">
        <v>686</v>
      </c>
      <c r="W1421" s="4" t="s">
        <v>2151</v>
      </c>
    </row>
    <row r="1422" spans="22:23">
      <c r="V1422" s="4" t="s">
        <v>692</v>
      </c>
      <c r="W1422" s="4" t="s">
        <v>2152</v>
      </c>
    </row>
    <row r="1423" spans="22:23">
      <c r="V1423" s="4" t="s">
        <v>692</v>
      </c>
      <c r="W1423" s="4" t="s">
        <v>2153</v>
      </c>
    </row>
    <row r="1424" spans="22:23">
      <c r="V1424" s="4" t="s">
        <v>692</v>
      </c>
      <c r="W1424" s="4" t="s">
        <v>2154</v>
      </c>
    </row>
    <row r="1425" spans="22:23">
      <c r="V1425" s="4" t="s">
        <v>692</v>
      </c>
      <c r="W1425" s="4" t="s">
        <v>2155</v>
      </c>
    </row>
    <row r="1426" spans="22:23">
      <c r="V1426" s="4" t="s">
        <v>692</v>
      </c>
      <c r="W1426" s="4" t="s">
        <v>2156</v>
      </c>
    </row>
    <row r="1427" spans="22:23">
      <c r="V1427" s="4" t="s">
        <v>692</v>
      </c>
      <c r="W1427" s="4" t="s">
        <v>2157</v>
      </c>
    </row>
    <row r="1428" spans="22:23">
      <c r="V1428" s="4" t="s">
        <v>692</v>
      </c>
      <c r="W1428" s="4" t="s">
        <v>2158</v>
      </c>
    </row>
    <row r="1429" spans="22:23">
      <c r="V1429" s="4" t="s">
        <v>692</v>
      </c>
      <c r="W1429" s="4" t="s">
        <v>2159</v>
      </c>
    </row>
    <row r="1430" spans="22:23">
      <c r="V1430" s="4" t="s">
        <v>692</v>
      </c>
      <c r="W1430" s="4" t="s">
        <v>2160</v>
      </c>
    </row>
    <row r="1431" spans="22:23">
      <c r="V1431" s="4" t="s">
        <v>692</v>
      </c>
      <c r="W1431" s="4" t="s">
        <v>2161</v>
      </c>
    </row>
    <row r="1432" spans="22:23">
      <c r="V1432" s="4" t="s">
        <v>692</v>
      </c>
      <c r="W1432" s="4" t="s">
        <v>2162</v>
      </c>
    </row>
    <row r="1433" spans="22:23">
      <c r="V1433" s="4" t="s">
        <v>692</v>
      </c>
      <c r="W1433" s="4" t="s">
        <v>2163</v>
      </c>
    </row>
    <row r="1434" spans="22:23">
      <c r="V1434" s="4" t="s">
        <v>692</v>
      </c>
      <c r="W1434" s="4" t="s">
        <v>2164</v>
      </c>
    </row>
    <row r="1435" spans="22:23">
      <c r="V1435" s="4" t="s">
        <v>692</v>
      </c>
      <c r="W1435" s="4" t="s">
        <v>693</v>
      </c>
    </row>
    <row r="1436" spans="22:23">
      <c r="V1436" s="4" t="s">
        <v>692</v>
      </c>
      <c r="W1436" s="4" t="s">
        <v>2165</v>
      </c>
    </row>
    <row r="1437" spans="22:23">
      <c r="V1437" s="4" t="s">
        <v>692</v>
      </c>
      <c r="W1437" s="4" t="s">
        <v>2166</v>
      </c>
    </row>
    <row r="1438" spans="22:23">
      <c r="V1438" s="4" t="s">
        <v>692</v>
      </c>
      <c r="W1438" s="4" t="s">
        <v>2167</v>
      </c>
    </row>
    <row r="1439" spans="22:23">
      <c r="V1439" s="4" t="s">
        <v>692</v>
      </c>
      <c r="W1439" s="4" t="s">
        <v>2168</v>
      </c>
    </row>
    <row r="1440" spans="22:23">
      <c r="V1440" s="4" t="s">
        <v>692</v>
      </c>
      <c r="W1440" s="4" t="s">
        <v>2169</v>
      </c>
    </row>
    <row r="1441" spans="22:23">
      <c r="V1441" s="4" t="s">
        <v>692</v>
      </c>
      <c r="W1441" s="4" t="s">
        <v>2170</v>
      </c>
    </row>
    <row r="1442" spans="22:23">
      <c r="V1442" s="4" t="s">
        <v>699</v>
      </c>
      <c r="W1442" s="4" t="s">
        <v>2171</v>
      </c>
    </row>
    <row r="1443" spans="22:23">
      <c r="V1443" s="4" t="s">
        <v>699</v>
      </c>
      <c r="W1443" s="4" t="s">
        <v>2172</v>
      </c>
    </row>
    <row r="1444" spans="22:23">
      <c r="V1444" s="4" t="s">
        <v>699</v>
      </c>
      <c r="W1444" s="4" t="s">
        <v>2173</v>
      </c>
    </row>
    <row r="1445" spans="22:23">
      <c r="V1445" s="4" t="s">
        <v>699</v>
      </c>
      <c r="W1445" s="4" t="s">
        <v>2174</v>
      </c>
    </row>
    <row r="1446" spans="22:23">
      <c r="V1446" s="4" t="s">
        <v>699</v>
      </c>
      <c r="W1446" s="4" t="s">
        <v>2175</v>
      </c>
    </row>
    <row r="1447" spans="22:23">
      <c r="V1447" s="4" t="s">
        <v>699</v>
      </c>
      <c r="W1447" s="4" t="s">
        <v>2176</v>
      </c>
    </row>
    <row r="1448" spans="22:23">
      <c r="V1448" s="4" t="s">
        <v>699</v>
      </c>
      <c r="W1448" s="4" t="s">
        <v>2177</v>
      </c>
    </row>
    <row r="1449" spans="22:23">
      <c r="V1449" s="4" t="s">
        <v>699</v>
      </c>
      <c r="W1449" s="4" t="s">
        <v>2178</v>
      </c>
    </row>
    <row r="1450" spans="22:23">
      <c r="V1450" s="4" t="s">
        <v>699</v>
      </c>
      <c r="W1450" s="4" t="s">
        <v>2179</v>
      </c>
    </row>
    <row r="1451" spans="22:23">
      <c r="V1451" s="4" t="s">
        <v>699</v>
      </c>
      <c r="W1451" s="4" t="s">
        <v>2180</v>
      </c>
    </row>
    <row r="1452" spans="22:23">
      <c r="V1452" s="4" t="s">
        <v>699</v>
      </c>
      <c r="W1452" s="4" t="s">
        <v>2181</v>
      </c>
    </row>
    <row r="1453" spans="22:23">
      <c r="V1453" s="4" t="s">
        <v>699</v>
      </c>
      <c r="W1453" s="4" t="s">
        <v>2182</v>
      </c>
    </row>
    <row r="1454" spans="22:23">
      <c r="V1454" s="4" t="s">
        <v>699</v>
      </c>
      <c r="W1454" s="4" t="s">
        <v>2183</v>
      </c>
    </row>
    <row r="1455" spans="22:23">
      <c r="V1455" s="4" t="s">
        <v>699</v>
      </c>
      <c r="W1455" s="4" t="s">
        <v>2184</v>
      </c>
    </row>
    <row r="1456" spans="22:23">
      <c r="V1456" s="4" t="s">
        <v>699</v>
      </c>
      <c r="W1456" s="4" t="s">
        <v>2185</v>
      </c>
    </row>
    <row r="1457" spans="22:23">
      <c r="V1457" s="4" t="s">
        <v>699</v>
      </c>
      <c r="W1457" s="4" t="s">
        <v>2186</v>
      </c>
    </row>
    <row r="1458" spans="22:23">
      <c r="V1458" s="4" t="s">
        <v>699</v>
      </c>
      <c r="W1458" s="4" t="s">
        <v>2187</v>
      </c>
    </row>
    <row r="1459" spans="22:23">
      <c r="V1459" s="4" t="s">
        <v>699</v>
      </c>
      <c r="W1459" s="4" t="s">
        <v>2188</v>
      </c>
    </row>
    <row r="1460" spans="22:23">
      <c r="V1460" s="4" t="s">
        <v>699</v>
      </c>
      <c r="W1460" s="4" t="s">
        <v>2189</v>
      </c>
    </row>
    <row r="1461" spans="22:23">
      <c r="V1461" s="4" t="s">
        <v>699</v>
      </c>
      <c r="W1461" s="4" t="s">
        <v>2190</v>
      </c>
    </row>
    <row r="1462" spans="22:23">
      <c r="V1462" s="4" t="s">
        <v>699</v>
      </c>
      <c r="W1462" s="4" t="s">
        <v>2191</v>
      </c>
    </row>
    <row r="1463" spans="22:23">
      <c r="V1463" s="4" t="s">
        <v>699</v>
      </c>
      <c r="W1463" s="4" t="s">
        <v>2192</v>
      </c>
    </row>
    <row r="1464" spans="22:23">
      <c r="V1464" s="4" t="s">
        <v>699</v>
      </c>
      <c r="W1464" s="4" t="s">
        <v>2193</v>
      </c>
    </row>
    <row r="1465" spans="22:23">
      <c r="V1465" s="4" t="s">
        <v>699</v>
      </c>
      <c r="W1465" s="4" t="s">
        <v>2194</v>
      </c>
    </row>
    <row r="1466" spans="22:23">
      <c r="V1466" s="4" t="s">
        <v>699</v>
      </c>
      <c r="W1466" s="4" t="s">
        <v>2195</v>
      </c>
    </row>
    <row r="1467" spans="22:23">
      <c r="V1467" s="4" t="s">
        <v>699</v>
      </c>
      <c r="W1467" s="4" t="s">
        <v>2196</v>
      </c>
    </row>
    <row r="1468" spans="22:23">
      <c r="V1468" s="4" t="s">
        <v>699</v>
      </c>
      <c r="W1468" s="4" t="s">
        <v>2197</v>
      </c>
    </row>
    <row r="1469" spans="22:23">
      <c r="V1469" s="4" t="s">
        <v>699</v>
      </c>
      <c r="W1469" s="4" t="s">
        <v>2198</v>
      </c>
    </row>
    <row r="1470" spans="22:23">
      <c r="V1470" s="4" t="s">
        <v>699</v>
      </c>
      <c r="W1470" s="4" t="s">
        <v>2199</v>
      </c>
    </row>
    <row r="1471" spans="22:23">
      <c r="V1471" s="4" t="s">
        <v>699</v>
      </c>
      <c r="W1471" s="4" t="s">
        <v>2200</v>
      </c>
    </row>
    <row r="1472" spans="22:23">
      <c r="V1472" s="4" t="s">
        <v>699</v>
      </c>
      <c r="W1472" s="4" t="s">
        <v>2201</v>
      </c>
    </row>
    <row r="1473" spans="22:23">
      <c r="V1473" s="4" t="s">
        <v>699</v>
      </c>
      <c r="W1473" s="4" t="s">
        <v>2202</v>
      </c>
    </row>
    <row r="1474" spans="22:23">
      <c r="V1474" s="4" t="s">
        <v>699</v>
      </c>
      <c r="W1474" s="4" t="s">
        <v>2203</v>
      </c>
    </row>
    <row r="1475" spans="22:23">
      <c r="V1475" s="4" t="s">
        <v>699</v>
      </c>
      <c r="W1475" s="4" t="s">
        <v>2204</v>
      </c>
    </row>
    <row r="1476" spans="22:23">
      <c r="V1476" s="4" t="s">
        <v>709</v>
      </c>
      <c r="W1476" s="4" t="s">
        <v>1543</v>
      </c>
    </row>
    <row r="1477" spans="22:23">
      <c r="V1477" s="4" t="s">
        <v>709</v>
      </c>
      <c r="W1477" s="4" t="s">
        <v>2205</v>
      </c>
    </row>
    <row r="1478" spans="22:23">
      <c r="V1478" s="4" t="s">
        <v>709</v>
      </c>
      <c r="W1478" s="4" t="s">
        <v>2206</v>
      </c>
    </row>
    <row r="1479" spans="22:23">
      <c r="V1479" s="4" t="s">
        <v>709</v>
      </c>
      <c r="W1479" s="4" t="s">
        <v>2207</v>
      </c>
    </row>
    <row r="1480" spans="22:23">
      <c r="V1480" s="4" t="s">
        <v>709</v>
      </c>
      <c r="W1480" s="4" t="s">
        <v>2208</v>
      </c>
    </row>
    <row r="1481" spans="22:23">
      <c r="V1481" s="4" t="s">
        <v>709</v>
      </c>
      <c r="W1481" s="4" t="s">
        <v>1544</v>
      </c>
    </row>
    <row r="1482" spans="22:23">
      <c r="V1482" s="4" t="s">
        <v>709</v>
      </c>
      <c r="W1482" s="4" t="s">
        <v>2209</v>
      </c>
    </row>
    <row r="1483" spans="22:23">
      <c r="V1483" s="4" t="s">
        <v>709</v>
      </c>
      <c r="W1483" s="4" t="s">
        <v>2210</v>
      </c>
    </row>
    <row r="1484" spans="22:23">
      <c r="V1484" s="4" t="s">
        <v>709</v>
      </c>
      <c r="W1484" s="4" t="s">
        <v>2211</v>
      </c>
    </row>
    <row r="1485" spans="22:23">
      <c r="V1485" s="4" t="s">
        <v>709</v>
      </c>
      <c r="W1485" s="4" t="s">
        <v>2212</v>
      </c>
    </row>
    <row r="1486" spans="22:23">
      <c r="V1486" s="4" t="s">
        <v>709</v>
      </c>
      <c r="W1486" s="4" t="s">
        <v>2213</v>
      </c>
    </row>
    <row r="1487" spans="22:23">
      <c r="V1487" s="4" t="s">
        <v>709</v>
      </c>
      <c r="W1487" s="4" t="s">
        <v>2214</v>
      </c>
    </row>
    <row r="1488" spans="22:23">
      <c r="V1488" s="4" t="s">
        <v>709</v>
      </c>
      <c r="W1488" s="4" t="s">
        <v>2215</v>
      </c>
    </row>
    <row r="1489" spans="22:23">
      <c r="V1489" s="4" t="s">
        <v>709</v>
      </c>
      <c r="W1489" s="4" t="s">
        <v>2216</v>
      </c>
    </row>
    <row r="1490" spans="22:23">
      <c r="V1490" s="4" t="s">
        <v>709</v>
      </c>
      <c r="W1490" s="4" t="s">
        <v>2217</v>
      </c>
    </row>
    <row r="1491" spans="22:23">
      <c r="V1491" s="4" t="s">
        <v>709</v>
      </c>
      <c r="W1491" s="4" t="s">
        <v>1546</v>
      </c>
    </row>
    <row r="1492" spans="22:23">
      <c r="V1492" s="4" t="s">
        <v>709</v>
      </c>
      <c r="W1492" s="4" t="s">
        <v>2218</v>
      </c>
    </row>
    <row r="1493" spans="22:23">
      <c r="V1493" s="4" t="s">
        <v>709</v>
      </c>
      <c r="W1493" s="4" t="s">
        <v>1221</v>
      </c>
    </row>
    <row r="1494" spans="22:23">
      <c r="V1494" s="4" t="s">
        <v>709</v>
      </c>
      <c r="W1494" s="4" t="s">
        <v>2219</v>
      </c>
    </row>
    <row r="1495" spans="22:23">
      <c r="V1495" s="4" t="s">
        <v>709</v>
      </c>
      <c r="W1495" s="4" t="s">
        <v>1223</v>
      </c>
    </row>
    <row r="1496" spans="22:23">
      <c r="V1496" s="4" t="s">
        <v>709</v>
      </c>
      <c r="W1496" s="4" t="s">
        <v>1548</v>
      </c>
    </row>
    <row r="1497" spans="22:23">
      <c r="V1497" s="4" t="s">
        <v>709</v>
      </c>
      <c r="W1497" s="4" t="s">
        <v>1225</v>
      </c>
    </row>
    <row r="1498" spans="22:23">
      <c r="V1498" s="4" t="s">
        <v>709</v>
      </c>
      <c r="W1498" s="4" t="s">
        <v>2220</v>
      </c>
    </row>
    <row r="1499" spans="22:23">
      <c r="V1499" s="4" t="s">
        <v>709</v>
      </c>
      <c r="W1499" s="4" t="s">
        <v>2221</v>
      </c>
    </row>
    <row r="1500" spans="22:23">
      <c r="V1500" s="4" t="s">
        <v>709</v>
      </c>
      <c r="W1500" s="4" t="s">
        <v>2222</v>
      </c>
    </row>
    <row r="1501" spans="22:23">
      <c r="V1501" s="4" t="s">
        <v>709</v>
      </c>
      <c r="W1501" s="4" t="s">
        <v>2223</v>
      </c>
    </row>
    <row r="1502" spans="22:23">
      <c r="V1502" s="4" t="s">
        <v>709</v>
      </c>
      <c r="W1502" s="4" t="s">
        <v>2224</v>
      </c>
    </row>
    <row r="1503" spans="22:23">
      <c r="V1503" s="4" t="s">
        <v>709</v>
      </c>
      <c r="W1503" s="4" t="s">
        <v>1227</v>
      </c>
    </row>
    <row r="1504" spans="22:23">
      <c r="V1504" s="4" t="s">
        <v>2225</v>
      </c>
      <c r="W1504" s="4" t="s">
        <v>2226</v>
      </c>
    </row>
    <row r="1505" spans="22:23">
      <c r="V1505" s="4" t="s">
        <v>709</v>
      </c>
      <c r="W1505" s="4" t="s">
        <v>2227</v>
      </c>
    </row>
    <row r="1506" spans="22:23">
      <c r="V1506" s="4" t="s">
        <v>709</v>
      </c>
      <c r="W1506" s="4" t="s">
        <v>2228</v>
      </c>
    </row>
    <row r="1507" spans="22:23">
      <c r="V1507" s="4" t="s">
        <v>709</v>
      </c>
      <c r="W1507" s="4" t="s">
        <v>2229</v>
      </c>
    </row>
    <row r="1508" spans="22:23">
      <c r="V1508" s="4" t="s">
        <v>709</v>
      </c>
      <c r="W1508" s="4" t="s">
        <v>2230</v>
      </c>
    </row>
    <row r="1509" spans="22:23">
      <c r="V1509" s="4" t="s">
        <v>709</v>
      </c>
      <c r="W1509" s="4" t="s">
        <v>2231</v>
      </c>
    </row>
    <row r="1510" spans="22:23">
      <c r="V1510" s="4" t="s">
        <v>709</v>
      </c>
      <c r="W1510" s="4" t="s">
        <v>2232</v>
      </c>
    </row>
    <row r="1511" spans="22:23">
      <c r="V1511" s="4" t="s">
        <v>709</v>
      </c>
      <c r="W1511" s="4" t="s">
        <v>1231</v>
      </c>
    </row>
    <row r="1512" spans="22:23">
      <c r="V1512" s="4" t="s">
        <v>709</v>
      </c>
      <c r="W1512" s="4" t="s">
        <v>2233</v>
      </c>
    </row>
    <row r="1513" spans="22:23">
      <c r="V1513" s="4" t="s">
        <v>709</v>
      </c>
      <c r="W1513" s="4" t="s">
        <v>2234</v>
      </c>
    </row>
    <row r="1514" spans="22:23">
      <c r="V1514" s="4" t="s">
        <v>709</v>
      </c>
      <c r="W1514" s="4" t="s">
        <v>2235</v>
      </c>
    </row>
    <row r="1515" spans="22:23">
      <c r="V1515" s="4" t="s">
        <v>709</v>
      </c>
      <c r="W1515" s="4" t="s">
        <v>2236</v>
      </c>
    </row>
    <row r="1516" spans="22:23">
      <c r="V1516" s="4" t="s">
        <v>709</v>
      </c>
      <c r="W1516" s="4" t="s">
        <v>2237</v>
      </c>
    </row>
    <row r="1517" spans="22:23">
      <c r="V1517" s="4" t="s">
        <v>709</v>
      </c>
      <c r="W1517" s="4" t="s">
        <v>2238</v>
      </c>
    </row>
    <row r="1518" spans="22:23">
      <c r="V1518" s="4" t="s">
        <v>709</v>
      </c>
      <c r="W1518" s="4" t="s">
        <v>2239</v>
      </c>
    </row>
    <row r="1519" spans="22:23">
      <c r="V1519" s="4" t="s">
        <v>709</v>
      </c>
      <c r="W1519" s="4" t="s">
        <v>2240</v>
      </c>
    </row>
    <row r="1520" spans="22:23">
      <c r="V1520" s="4" t="s">
        <v>709</v>
      </c>
      <c r="W1520" s="4" t="s">
        <v>2241</v>
      </c>
    </row>
    <row r="1521" spans="22:23">
      <c r="V1521" s="4" t="s">
        <v>709</v>
      </c>
      <c r="W1521" s="4" t="s">
        <v>2242</v>
      </c>
    </row>
    <row r="1522" spans="22:23">
      <c r="V1522" s="4" t="s">
        <v>709</v>
      </c>
      <c r="W1522" s="4" t="s">
        <v>2243</v>
      </c>
    </row>
    <row r="1523" spans="22:23">
      <c r="V1523" s="4" t="s">
        <v>709</v>
      </c>
      <c r="W1523" s="4" t="s">
        <v>2004</v>
      </c>
    </row>
    <row r="1524" spans="22:23">
      <c r="V1524" s="4" t="s">
        <v>709</v>
      </c>
      <c r="W1524" s="4" t="s">
        <v>2244</v>
      </c>
    </row>
    <row r="1525" spans="22:23">
      <c r="V1525" s="4" t="s">
        <v>709</v>
      </c>
      <c r="W1525" s="4" t="s">
        <v>2245</v>
      </c>
    </row>
    <row r="1526" spans="22:23">
      <c r="V1526" s="4" t="s">
        <v>709</v>
      </c>
      <c r="W1526" s="4" t="s">
        <v>2246</v>
      </c>
    </row>
    <row r="1527" spans="22:23">
      <c r="V1527" s="4" t="s">
        <v>709</v>
      </c>
      <c r="W1527" s="4" t="s">
        <v>1228</v>
      </c>
    </row>
    <row r="1528" spans="22:23">
      <c r="V1528" s="4" t="s">
        <v>709</v>
      </c>
      <c r="W1528" s="4" t="s">
        <v>2247</v>
      </c>
    </row>
    <row r="1529" spans="22:23">
      <c r="V1529" s="4" t="s">
        <v>709</v>
      </c>
      <c r="W1529" s="4" t="s">
        <v>2248</v>
      </c>
    </row>
    <row r="1530" spans="22:23">
      <c r="V1530" s="4" t="s">
        <v>709</v>
      </c>
      <c r="W1530" s="4" t="s">
        <v>2249</v>
      </c>
    </row>
    <row r="1531" spans="22:23">
      <c r="V1531" s="4" t="s">
        <v>709</v>
      </c>
      <c r="W1531" s="4" t="s">
        <v>2250</v>
      </c>
    </row>
    <row r="1532" spans="22:23">
      <c r="V1532" s="4" t="s">
        <v>709</v>
      </c>
      <c r="W1532" s="4" t="s">
        <v>2251</v>
      </c>
    </row>
    <row r="1533" spans="22:23">
      <c r="V1533" s="4" t="s">
        <v>709</v>
      </c>
      <c r="W1533" s="4" t="s">
        <v>2252</v>
      </c>
    </row>
    <row r="1534" spans="22:23">
      <c r="V1534" s="4" t="s">
        <v>709</v>
      </c>
      <c r="W1534" s="4" t="s">
        <v>2253</v>
      </c>
    </row>
    <row r="1535" spans="22:23">
      <c r="V1535" s="4" t="s">
        <v>709</v>
      </c>
      <c r="W1535" s="4" t="s">
        <v>2254</v>
      </c>
    </row>
    <row r="1536" spans="22:23">
      <c r="V1536" s="4" t="s">
        <v>714</v>
      </c>
      <c r="W1536" s="4" t="s">
        <v>2255</v>
      </c>
    </row>
    <row r="1537" spans="22:23">
      <c r="V1537" s="4" t="s">
        <v>714</v>
      </c>
      <c r="W1537" s="4" t="s">
        <v>2256</v>
      </c>
    </row>
    <row r="1538" spans="22:23">
      <c r="V1538" s="4" t="s">
        <v>714</v>
      </c>
      <c r="W1538" s="4" t="s">
        <v>2257</v>
      </c>
    </row>
    <row r="1539" spans="22:23">
      <c r="V1539" s="4" t="s">
        <v>714</v>
      </c>
      <c r="W1539" s="4" t="s">
        <v>2258</v>
      </c>
    </row>
    <row r="1540" spans="22:23">
      <c r="V1540" s="4" t="s">
        <v>714</v>
      </c>
      <c r="W1540" s="4" t="s">
        <v>2259</v>
      </c>
    </row>
    <row r="1541" spans="22:23">
      <c r="V1541" s="4" t="s">
        <v>714</v>
      </c>
      <c r="W1541" s="4" t="s">
        <v>2260</v>
      </c>
    </row>
    <row r="1542" spans="22:23">
      <c r="V1542" s="4" t="s">
        <v>714</v>
      </c>
      <c r="W1542" s="4" t="s">
        <v>2261</v>
      </c>
    </row>
    <row r="1543" spans="22:23">
      <c r="V1543" s="4" t="s">
        <v>714</v>
      </c>
      <c r="W1543" s="4" t="s">
        <v>2262</v>
      </c>
    </row>
    <row r="1544" spans="22:23">
      <c r="V1544" s="4" t="s">
        <v>714</v>
      </c>
      <c r="W1544" s="4" t="s">
        <v>2263</v>
      </c>
    </row>
    <row r="1545" spans="22:23">
      <c r="V1545" s="4" t="s">
        <v>714</v>
      </c>
      <c r="W1545" s="4" t="s">
        <v>2264</v>
      </c>
    </row>
    <row r="1546" spans="22:23">
      <c r="V1546" s="4" t="s">
        <v>714</v>
      </c>
      <c r="W1546" s="4" t="s">
        <v>2265</v>
      </c>
    </row>
    <row r="1547" spans="22:23">
      <c r="V1547" s="4" t="s">
        <v>714</v>
      </c>
      <c r="W1547" s="4" t="s">
        <v>2266</v>
      </c>
    </row>
    <row r="1548" spans="22:23">
      <c r="V1548" s="4" t="s">
        <v>714</v>
      </c>
      <c r="W1548" s="4" t="s">
        <v>2267</v>
      </c>
    </row>
    <row r="1549" spans="22:23">
      <c r="V1549" s="4" t="s">
        <v>714</v>
      </c>
      <c r="W1549" s="4" t="s">
        <v>2268</v>
      </c>
    </row>
    <row r="1550" spans="22:23">
      <c r="V1550" s="4" t="s">
        <v>714</v>
      </c>
      <c r="W1550" s="4" t="s">
        <v>2269</v>
      </c>
    </row>
    <row r="1551" spans="22:23">
      <c r="V1551" s="4" t="s">
        <v>714</v>
      </c>
      <c r="W1551" s="4" t="s">
        <v>2270</v>
      </c>
    </row>
    <row r="1552" spans="22:23">
      <c r="V1552" s="4" t="s">
        <v>714</v>
      </c>
      <c r="W1552" s="4" t="s">
        <v>2271</v>
      </c>
    </row>
    <row r="1553" spans="22:23">
      <c r="V1553" s="4" t="s">
        <v>714</v>
      </c>
      <c r="W1553" s="4" t="s">
        <v>2272</v>
      </c>
    </row>
    <row r="1554" spans="22:23">
      <c r="V1554" s="4" t="s">
        <v>714</v>
      </c>
      <c r="W1554" s="4" t="s">
        <v>2273</v>
      </c>
    </row>
    <row r="1555" spans="22:23">
      <c r="V1555" s="4" t="s">
        <v>714</v>
      </c>
      <c r="W1555" s="4" t="s">
        <v>2274</v>
      </c>
    </row>
    <row r="1556" spans="22:23">
      <c r="V1556" s="4" t="s">
        <v>719</v>
      </c>
      <c r="W1556" s="4" t="s">
        <v>1550</v>
      </c>
    </row>
    <row r="1557" spans="22:23">
      <c r="V1557" s="4" t="s">
        <v>719</v>
      </c>
      <c r="W1557" s="4" t="s">
        <v>2275</v>
      </c>
    </row>
    <row r="1558" spans="22:23">
      <c r="V1558" s="4" t="s">
        <v>719</v>
      </c>
      <c r="W1558" s="4" t="s">
        <v>2276</v>
      </c>
    </row>
    <row r="1559" spans="22:23">
      <c r="V1559" s="4" t="s">
        <v>719</v>
      </c>
      <c r="W1559" s="4" t="s">
        <v>2277</v>
      </c>
    </row>
    <row r="1560" spans="22:23">
      <c r="V1560" s="4" t="s">
        <v>719</v>
      </c>
      <c r="W1560" s="4" t="s">
        <v>2278</v>
      </c>
    </row>
    <row r="1561" spans="22:23">
      <c r="V1561" s="4" t="s">
        <v>719</v>
      </c>
      <c r="W1561" s="4" t="s">
        <v>2279</v>
      </c>
    </row>
    <row r="1562" spans="22:23">
      <c r="V1562" s="4" t="s">
        <v>719</v>
      </c>
      <c r="W1562" s="4" t="s">
        <v>2280</v>
      </c>
    </row>
    <row r="1563" spans="22:23">
      <c r="V1563" s="4" t="s">
        <v>719</v>
      </c>
      <c r="W1563" s="4" t="s">
        <v>2281</v>
      </c>
    </row>
    <row r="1564" spans="22:23">
      <c r="V1564" s="4" t="s">
        <v>719</v>
      </c>
      <c r="W1564" s="4" t="s">
        <v>2282</v>
      </c>
    </row>
    <row r="1565" spans="22:23">
      <c r="V1565" s="4" t="s">
        <v>719</v>
      </c>
      <c r="W1565" s="4" t="s">
        <v>2283</v>
      </c>
    </row>
    <row r="1566" spans="22:23">
      <c r="V1566" s="4" t="s">
        <v>719</v>
      </c>
      <c r="W1566" s="4" t="s">
        <v>2284</v>
      </c>
    </row>
    <row r="1567" spans="22:23">
      <c r="V1567" s="4" t="s">
        <v>719</v>
      </c>
      <c r="W1567" s="4" t="s">
        <v>2285</v>
      </c>
    </row>
    <row r="1568" spans="22:23">
      <c r="V1568" s="4" t="s">
        <v>719</v>
      </c>
      <c r="W1568" s="4" t="s">
        <v>2286</v>
      </c>
    </row>
    <row r="1569" spans="22:23">
      <c r="V1569" s="4" t="s">
        <v>719</v>
      </c>
      <c r="W1569" s="4" t="s">
        <v>2287</v>
      </c>
    </row>
    <row r="1570" spans="22:23">
      <c r="V1570" s="4" t="s">
        <v>719</v>
      </c>
      <c r="W1570" s="4" t="s">
        <v>2288</v>
      </c>
    </row>
    <row r="1571" spans="22:23">
      <c r="V1571" s="4" t="s">
        <v>719</v>
      </c>
      <c r="W1571" s="4" t="s">
        <v>2289</v>
      </c>
    </row>
    <row r="1572" spans="22:23">
      <c r="V1572" s="4" t="s">
        <v>719</v>
      </c>
      <c r="W1572" s="4" t="s">
        <v>2290</v>
      </c>
    </row>
    <row r="1573" spans="22:23">
      <c r="V1573" s="4" t="s">
        <v>719</v>
      </c>
      <c r="W1573" s="4" t="s">
        <v>2291</v>
      </c>
    </row>
    <row r="1574" spans="22:23">
      <c r="V1574" s="4" t="s">
        <v>719</v>
      </c>
      <c r="W1574" s="4" t="s">
        <v>2292</v>
      </c>
    </row>
    <row r="1575" spans="22:23">
      <c r="V1575" s="4" t="s">
        <v>719</v>
      </c>
      <c r="W1575" s="4" t="s">
        <v>2293</v>
      </c>
    </row>
    <row r="1576" spans="22:23">
      <c r="V1576" s="4" t="s">
        <v>719</v>
      </c>
      <c r="W1576" s="4" t="s">
        <v>2294</v>
      </c>
    </row>
    <row r="1577" spans="22:23">
      <c r="V1577" s="4" t="s">
        <v>727</v>
      </c>
      <c r="W1577" s="4" t="s">
        <v>2295</v>
      </c>
    </row>
    <row r="1578" spans="22:23">
      <c r="V1578" s="4" t="s">
        <v>727</v>
      </c>
      <c r="W1578" s="4" t="s">
        <v>2296</v>
      </c>
    </row>
    <row r="1579" spans="22:23">
      <c r="V1579" s="4" t="s">
        <v>727</v>
      </c>
      <c r="W1579" s="4" t="s">
        <v>2297</v>
      </c>
    </row>
    <row r="1580" spans="22:23">
      <c r="V1580" s="4" t="s">
        <v>727</v>
      </c>
      <c r="W1580" s="4" t="s">
        <v>2298</v>
      </c>
    </row>
    <row r="1581" spans="22:23">
      <c r="V1581" s="4" t="s">
        <v>727</v>
      </c>
      <c r="W1581" s="4" t="s">
        <v>2299</v>
      </c>
    </row>
    <row r="1582" spans="22:23">
      <c r="V1582" s="4" t="s">
        <v>727</v>
      </c>
      <c r="W1582" s="4" t="s">
        <v>2300</v>
      </c>
    </row>
    <row r="1583" spans="22:23">
      <c r="V1583" s="4" t="s">
        <v>727</v>
      </c>
      <c r="W1583" s="4" t="s">
        <v>2301</v>
      </c>
    </row>
    <row r="1584" spans="22:23">
      <c r="V1584" s="4" t="s">
        <v>727</v>
      </c>
      <c r="W1584" s="4" t="s">
        <v>2302</v>
      </c>
    </row>
    <row r="1585" spans="22:23">
      <c r="V1585" s="4" t="s">
        <v>727</v>
      </c>
      <c r="W1585" s="4" t="s">
        <v>2303</v>
      </c>
    </row>
    <row r="1586" spans="22:23">
      <c r="V1586" s="4" t="s">
        <v>727</v>
      </c>
      <c r="W1586" s="4" t="s">
        <v>2304</v>
      </c>
    </row>
    <row r="1587" spans="22:23">
      <c r="V1587" s="4" t="s">
        <v>727</v>
      </c>
      <c r="W1587" s="4" t="s">
        <v>2305</v>
      </c>
    </row>
    <row r="1588" spans="22:23">
      <c r="V1588" s="4" t="s">
        <v>727</v>
      </c>
      <c r="W1588" s="4" t="s">
        <v>2306</v>
      </c>
    </row>
    <row r="1589" spans="22:23">
      <c r="V1589" s="4" t="s">
        <v>727</v>
      </c>
      <c r="W1589" s="4" t="s">
        <v>2307</v>
      </c>
    </row>
    <row r="1590" spans="22:23">
      <c r="V1590" s="4" t="s">
        <v>727</v>
      </c>
      <c r="W1590" s="4" t="s">
        <v>2308</v>
      </c>
    </row>
    <row r="1591" spans="22:23">
      <c r="V1591" s="4" t="s">
        <v>727</v>
      </c>
      <c r="W1591" s="4" t="s">
        <v>1255</v>
      </c>
    </row>
    <row r="1592" spans="22:23">
      <c r="V1592" s="4" t="s">
        <v>727</v>
      </c>
      <c r="W1592" s="4" t="s">
        <v>2309</v>
      </c>
    </row>
    <row r="1593" spans="22:23">
      <c r="V1593" s="4" t="s">
        <v>727</v>
      </c>
      <c r="W1593" s="4" t="s">
        <v>2310</v>
      </c>
    </row>
    <row r="1594" spans="22:23">
      <c r="V1594" s="4" t="s">
        <v>727</v>
      </c>
      <c r="W1594" s="4" t="s">
        <v>2311</v>
      </c>
    </row>
    <row r="1595" spans="22:23">
      <c r="V1595" s="4" t="s">
        <v>727</v>
      </c>
      <c r="W1595" s="4" t="s">
        <v>2312</v>
      </c>
    </row>
    <row r="1596" spans="22:23">
      <c r="V1596" s="4" t="s">
        <v>727</v>
      </c>
      <c r="W1596" s="4" t="s">
        <v>2313</v>
      </c>
    </row>
    <row r="1597" spans="22:23">
      <c r="V1597" s="4" t="s">
        <v>727</v>
      </c>
      <c r="W1597" s="4" t="s">
        <v>2314</v>
      </c>
    </row>
    <row r="1598" spans="22:23">
      <c r="V1598" s="4" t="s">
        <v>727</v>
      </c>
      <c r="W1598" s="4" t="s">
        <v>2315</v>
      </c>
    </row>
    <row r="1599" spans="22:23">
      <c r="V1599" s="4" t="s">
        <v>727</v>
      </c>
      <c r="W1599" s="4" t="s">
        <v>1369</v>
      </c>
    </row>
    <row r="1600" spans="22:23">
      <c r="V1600" s="4" t="s">
        <v>727</v>
      </c>
      <c r="W1600" s="4" t="s">
        <v>2316</v>
      </c>
    </row>
    <row r="1601" spans="22:23">
      <c r="V1601" s="4" t="s">
        <v>727</v>
      </c>
      <c r="W1601" s="4" t="s">
        <v>1821</v>
      </c>
    </row>
    <row r="1602" spans="22:23">
      <c r="V1602" s="4" t="s">
        <v>727</v>
      </c>
      <c r="W1602" s="4" t="s">
        <v>2317</v>
      </c>
    </row>
    <row r="1603" spans="22:23">
      <c r="V1603" s="4" t="s">
        <v>727</v>
      </c>
      <c r="W1603" s="4" t="s">
        <v>2318</v>
      </c>
    </row>
    <row r="1604" spans="22:23">
      <c r="V1604" s="4" t="s">
        <v>727</v>
      </c>
      <c r="W1604" s="4" t="s">
        <v>2319</v>
      </c>
    </row>
    <row r="1605" spans="22:23">
      <c r="V1605" s="4" t="s">
        <v>727</v>
      </c>
      <c r="W1605" s="4" t="s">
        <v>2320</v>
      </c>
    </row>
    <row r="1606" spans="22:23">
      <c r="V1606" s="4" t="s">
        <v>727</v>
      </c>
      <c r="W1606" s="4" t="s">
        <v>2321</v>
      </c>
    </row>
    <row r="1607" spans="22:23">
      <c r="V1607" s="4" t="s">
        <v>727</v>
      </c>
      <c r="W1607" s="4" t="s">
        <v>2322</v>
      </c>
    </row>
    <row r="1608" spans="22:23">
      <c r="V1608" s="4" t="s">
        <v>727</v>
      </c>
      <c r="W1608" s="4" t="s">
        <v>2323</v>
      </c>
    </row>
    <row r="1609" spans="22:23">
      <c r="V1609" s="4" t="s">
        <v>727</v>
      </c>
      <c r="W1609" s="4" t="s">
        <v>2324</v>
      </c>
    </row>
    <row r="1610" spans="22:23">
      <c r="V1610" s="4" t="s">
        <v>727</v>
      </c>
      <c r="W1610" s="4" t="s">
        <v>2325</v>
      </c>
    </row>
    <row r="1611" spans="22:23">
      <c r="V1611" s="4" t="s">
        <v>727</v>
      </c>
      <c r="W1611" s="4" t="s">
        <v>2326</v>
      </c>
    </row>
    <row r="1612" spans="22:23">
      <c r="V1612" s="4" t="s">
        <v>727</v>
      </c>
      <c r="W1612" s="4" t="s">
        <v>2327</v>
      </c>
    </row>
    <row r="1613" spans="22:23">
      <c r="V1613" s="4" t="s">
        <v>727</v>
      </c>
      <c r="W1613" s="4" t="s">
        <v>2328</v>
      </c>
    </row>
    <row r="1614" spans="22:23">
      <c r="V1614" s="4" t="s">
        <v>727</v>
      </c>
      <c r="W1614" s="4" t="s">
        <v>2329</v>
      </c>
    </row>
    <row r="1615" spans="22:23">
      <c r="V1615" s="4" t="s">
        <v>727</v>
      </c>
      <c r="W1615" s="4" t="s">
        <v>2330</v>
      </c>
    </row>
    <row r="1616" spans="22:23">
      <c r="V1616" s="4" t="s">
        <v>727</v>
      </c>
      <c r="W1616" s="4" t="s">
        <v>2331</v>
      </c>
    </row>
    <row r="1617" spans="22:23">
      <c r="V1617" s="4" t="s">
        <v>727</v>
      </c>
      <c r="W1617" s="4" t="s">
        <v>2332</v>
      </c>
    </row>
    <row r="1618" spans="22:23">
      <c r="V1618" s="4" t="s">
        <v>727</v>
      </c>
      <c r="W1618" s="4" t="s">
        <v>2333</v>
      </c>
    </row>
    <row r="1619" spans="22:23">
      <c r="V1619" s="4" t="s">
        <v>727</v>
      </c>
      <c r="W1619" s="4" t="s">
        <v>2334</v>
      </c>
    </row>
    <row r="1620" spans="22:23">
      <c r="V1620" s="4" t="s">
        <v>727</v>
      </c>
      <c r="W1620" s="4" t="s">
        <v>2335</v>
      </c>
    </row>
    <row r="1621" spans="22:23">
      <c r="V1621" s="4" t="s">
        <v>727</v>
      </c>
      <c r="W1621" s="4" t="s">
        <v>2336</v>
      </c>
    </row>
    <row r="1622" spans="22:23">
      <c r="V1622" s="4" t="s">
        <v>732</v>
      </c>
      <c r="W1622" s="4" t="s">
        <v>2337</v>
      </c>
    </row>
    <row r="1623" spans="22:23">
      <c r="V1623" s="4" t="s">
        <v>732</v>
      </c>
      <c r="W1623" s="4" t="s">
        <v>2338</v>
      </c>
    </row>
    <row r="1624" spans="22:23">
      <c r="V1624" s="4" t="s">
        <v>732</v>
      </c>
      <c r="W1624" s="4" t="s">
        <v>2339</v>
      </c>
    </row>
    <row r="1625" spans="22:23">
      <c r="V1625" s="4" t="s">
        <v>732</v>
      </c>
      <c r="W1625" s="4" t="s">
        <v>2340</v>
      </c>
    </row>
    <row r="1626" spans="22:23">
      <c r="V1626" s="4" t="s">
        <v>732</v>
      </c>
      <c r="W1626" s="4" t="s">
        <v>2341</v>
      </c>
    </row>
    <row r="1627" spans="22:23">
      <c r="V1627" s="4" t="s">
        <v>732</v>
      </c>
      <c r="W1627" s="4" t="s">
        <v>2342</v>
      </c>
    </row>
    <row r="1628" spans="22:23">
      <c r="V1628" s="4" t="s">
        <v>732</v>
      </c>
      <c r="W1628" s="4" t="s">
        <v>2343</v>
      </c>
    </row>
    <row r="1629" spans="22:23">
      <c r="V1629" s="4" t="s">
        <v>732</v>
      </c>
      <c r="W1629" s="4" t="s">
        <v>2344</v>
      </c>
    </row>
    <row r="1630" spans="22:23">
      <c r="V1630" s="4" t="s">
        <v>732</v>
      </c>
      <c r="W1630" s="4" t="s">
        <v>2345</v>
      </c>
    </row>
    <row r="1631" spans="22:23">
      <c r="V1631" s="4" t="s">
        <v>732</v>
      </c>
      <c r="W1631" s="4" t="s">
        <v>2346</v>
      </c>
    </row>
    <row r="1632" spans="22:23">
      <c r="V1632" s="4" t="s">
        <v>732</v>
      </c>
      <c r="W1632" s="4" t="s">
        <v>2347</v>
      </c>
    </row>
    <row r="1633" spans="22:23">
      <c r="V1633" s="4" t="s">
        <v>732</v>
      </c>
      <c r="W1633" s="4" t="s">
        <v>2348</v>
      </c>
    </row>
    <row r="1634" spans="22:23">
      <c r="V1634" s="4" t="s">
        <v>732</v>
      </c>
      <c r="W1634" s="4" t="s">
        <v>2349</v>
      </c>
    </row>
    <row r="1635" spans="22:23">
      <c r="V1635" s="4" t="s">
        <v>732</v>
      </c>
      <c r="W1635" s="4" t="s">
        <v>2350</v>
      </c>
    </row>
    <row r="1636" spans="22:23">
      <c r="V1636" s="4" t="s">
        <v>732</v>
      </c>
      <c r="W1636" s="4" t="s">
        <v>2351</v>
      </c>
    </row>
    <row r="1637" spans="22:23">
      <c r="V1637" s="4" t="s">
        <v>732</v>
      </c>
      <c r="W1637" s="4" t="s">
        <v>2352</v>
      </c>
    </row>
    <row r="1638" spans="22:23">
      <c r="V1638" s="4" t="s">
        <v>732</v>
      </c>
      <c r="W1638" s="4" t="s">
        <v>2353</v>
      </c>
    </row>
    <row r="1639" spans="22:23">
      <c r="V1639" s="4" t="s">
        <v>732</v>
      </c>
      <c r="W1639" s="4" t="s">
        <v>2354</v>
      </c>
    </row>
    <row r="1640" spans="22:23">
      <c r="V1640" s="4" t="s">
        <v>738</v>
      </c>
      <c r="W1640" s="4" t="s">
        <v>2355</v>
      </c>
    </row>
    <row r="1641" spans="22:23">
      <c r="V1641" s="4" t="s">
        <v>738</v>
      </c>
      <c r="W1641" s="4" t="s">
        <v>2356</v>
      </c>
    </row>
    <row r="1642" spans="22:23">
      <c r="V1642" s="4" t="s">
        <v>738</v>
      </c>
      <c r="W1642" s="4" t="s">
        <v>2357</v>
      </c>
    </row>
    <row r="1643" spans="22:23">
      <c r="V1643" s="4" t="s">
        <v>738</v>
      </c>
      <c r="W1643" s="4" t="s">
        <v>2358</v>
      </c>
    </row>
    <row r="1644" spans="22:23">
      <c r="V1644" s="4" t="s">
        <v>738</v>
      </c>
      <c r="W1644" s="4" t="s">
        <v>2359</v>
      </c>
    </row>
    <row r="1645" spans="22:23">
      <c r="V1645" s="4" t="s">
        <v>738</v>
      </c>
      <c r="W1645" s="4" t="s">
        <v>2360</v>
      </c>
    </row>
    <row r="1646" spans="22:23">
      <c r="V1646" s="4" t="s">
        <v>738</v>
      </c>
      <c r="W1646" s="4" t="s">
        <v>2361</v>
      </c>
    </row>
    <row r="1647" spans="22:23">
      <c r="V1647" s="4" t="s">
        <v>738</v>
      </c>
      <c r="W1647" s="4" t="s">
        <v>2362</v>
      </c>
    </row>
    <row r="1648" spans="22:23">
      <c r="V1648" s="4" t="s">
        <v>738</v>
      </c>
      <c r="W1648" s="4" t="s">
        <v>2363</v>
      </c>
    </row>
    <row r="1649" spans="22:23">
      <c r="V1649" s="4" t="s">
        <v>738</v>
      </c>
      <c r="W1649" s="4" t="s">
        <v>2364</v>
      </c>
    </row>
    <row r="1650" spans="22:23">
      <c r="V1650" s="4" t="s">
        <v>738</v>
      </c>
      <c r="W1650" s="4" t="s">
        <v>2365</v>
      </c>
    </row>
    <row r="1651" spans="22:23">
      <c r="V1651" s="4" t="s">
        <v>738</v>
      </c>
      <c r="W1651" s="4" t="s">
        <v>2366</v>
      </c>
    </row>
    <row r="1652" spans="22:23">
      <c r="V1652" s="4" t="s">
        <v>738</v>
      </c>
      <c r="W1652" s="4" t="s">
        <v>2367</v>
      </c>
    </row>
    <row r="1653" spans="22:23">
      <c r="V1653" s="4" t="s">
        <v>738</v>
      </c>
      <c r="W1653" s="4" t="s">
        <v>2368</v>
      </c>
    </row>
    <row r="1654" spans="22:23">
      <c r="V1654" s="4" t="s">
        <v>738</v>
      </c>
      <c r="W1654" s="4" t="s">
        <v>2369</v>
      </c>
    </row>
    <row r="1655" spans="22:23">
      <c r="V1655" s="4" t="s">
        <v>738</v>
      </c>
      <c r="W1655" s="4" t="s">
        <v>2370</v>
      </c>
    </row>
    <row r="1656" spans="22:23">
      <c r="V1656" s="4" t="s">
        <v>738</v>
      </c>
      <c r="W1656" s="4" t="s">
        <v>2371</v>
      </c>
    </row>
    <row r="1657" spans="22:23">
      <c r="V1657" s="4" t="s">
        <v>738</v>
      </c>
      <c r="W1657" s="4" t="s">
        <v>2372</v>
      </c>
    </row>
    <row r="1658" spans="22:23">
      <c r="V1658" s="4" t="s">
        <v>738</v>
      </c>
      <c r="W1658" s="4" t="s">
        <v>2373</v>
      </c>
    </row>
    <row r="1659" spans="22:23">
      <c r="V1659" s="4" t="s">
        <v>738</v>
      </c>
      <c r="W1659" s="4" t="s">
        <v>2374</v>
      </c>
    </row>
    <row r="1660" spans="22:23">
      <c r="V1660" s="4" t="s">
        <v>738</v>
      </c>
      <c r="W1660" s="4" t="s">
        <v>2375</v>
      </c>
    </row>
    <row r="1661" spans="22:23">
      <c r="V1661" s="4" t="s">
        <v>738</v>
      </c>
      <c r="W1661" s="4" t="s">
        <v>2376</v>
      </c>
    </row>
    <row r="1662" spans="22:23">
      <c r="V1662" s="4" t="s">
        <v>738</v>
      </c>
      <c r="W1662" s="4" t="s">
        <v>1305</v>
      </c>
    </row>
    <row r="1663" spans="22:23">
      <c r="V1663" s="4" t="s">
        <v>738</v>
      </c>
      <c r="W1663" s="4" t="s">
        <v>2377</v>
      </c>
    </row>
    <row r="1664" spans="22:23">
      <c r="V1664" s="4" t="s">
        <v>738</v>
      </c>
      <c r="W1664" s="4" t="s">
        <v>2378</v>
      </c>
    </row>
    <row r="1665" spans="22:23">
      <c r="V1665" s="4" t="s">
        <v>738</v>
      </c>
      <c r="W1665" s="4" t="s">
        <v>2379</v>
      </c>
    </row>
    <row r="1666" spans="22:23">
      <c r="V1666" s="4" t="s">
        <v>743</v>
      </c>
      <c r="W1666" s="4" t="s">
        <v>2380</v>
      </c>
    </row>
    <row r="1667" spans="22:23">
      <c r="V1667" s="4" t="s">
        <v>743</v>
      </c>
      <c r="W1667" s="4" t="s">
        <v>2381</v>
      </c>
    </row>
    <row r="1668" spans="22:23">
      <c r="V1668" s="4" t="s">
        <v>743</v>
      </c>
      <c r="W1668" s="4" t="s">
        <v>2382</v>
      </c>
    </row>
    <row r="1669" spans="22:23">
      <c r="V1669" s="4" t="s">
        <v>743</v>
      </c>
      <c r="W1669" s="4" t="s">
        <v>2383</v>
      </c>
    </row>
    <row r="1670" spans="22:23">
      <c r="V1670" s="4" t="s">
        <v>743</v>
      </c>
      <c r="W1670" s="4" t="s">
        <v>2384</v>
      </c>
    </row>
    <row r="1671" spans="22:23">
      <c r="V1671" s="4" t="s">
        <v>743</v>
      </c>
      <c r="W1671" s="4" t="s">
        <v>2385</v>
      </c>
    </row>
    <row r="1672" spans="22:23">
      <c r="V1672" s="4" t="s">
        <v>743</v>
      </c>
      <c r="W1672" s="4" t="s">
        <v>2386</v>
      </c>
    </row>
    <row r="1673" spans="22:23">
      <c r="V1673" s="4" t="s">
        <v>743</v>
      </c>
      <c r="W1673" s="4" t="s">
        <v>2387</v>
      </c>
    </row>
    <row r="1674" spans="22:23">
      <c r="V1674" s="4" t="s">
        <v>743</v>
      </c>
      <c r="W1674" s="4" t="s">
        <v>2388</v>
      </c>
    </row>
    <row r="1675" spans="22:23">
      <c r="V1675" s="4" t="s">
        <v>743</v>
      </c>
      <c r="W1675" s="4" t="s">
        <v>2389</v>
      </c>
    </row>
    <row r="1676" spans="22:23">
      <c r="V1676" s="4" t="s">
        <v>743</v>
      </c>
      <c r="W1676" s="4" t="s">
        <v>2390</v>
      </c>
    </row>
    <row r="1677" spans="22:23">
      <c r="V1677" s="4" t="s">
        <v>743</v>
      </c>
      <c r="W1677" s="4" t="s">
        <v>2391</v>
      </c>
    </row>
    <row r="1678" spans="22:23">
      <c r="V1678" s="4" t="s">
        <v>743</v>
      </c>
      <c r="W1678" s="4" t="s">
        <v>2392</v>
      </c>
    </row>
    <row r="1679" spans="22:23">
      <c r="V1679" s="4" t="s">
        <v>743</v>
      </c>
      <c r="W1679" s="4" t="s">
        <v>2393</v>
      </c>
    </row>
    <row r="1680" spans="22:23">
      <c r="V1680" s="4" t="s">
        <v>743</v>
      </c>
      <c r="W1680" s="4" t="s">
        <v>2394</v>
      </c>
    </row>
    <row r="1681" spans="22:23">
      <c r="V1681" s="4" t="s">
        <v>743</v>
      </c>
      <c r="W1681" s="4" t="s">
        <v>2395</v>
      </c>
    </row>
    <row r="1682" spans="22:23">
      <c r="V1682" s="4" t="s">
        <v>743</v>
      </c>
      <c r="W1682" s="4" t="s">
        <v>2396</v>
      </c>
    </row>
    <row r="1683" spans="22:23">
      <c r="V1683" s="4" t="s">
        <v>743</v>
      </c>
      <c r="W1683" s="4" t="s">
        <v>2397</v>
      </c>
    </row>
    <row r="1684" spans="22:23">
      <c r="V1684" s="4" t="s">
        <v>743</v>
      </c>
      <c r="W1684" s="4" t="s">
        <v>2398</v>
      </c>
    </row>
    <row r="1685" spans="22:23">
      <c r="V1685" s="4" t="s">
        <v>743</v>
      </c>
      <c r="W1685" s="4" t="s">
        <v>2399</v>
      </c>
    </row>
    <row r="1686" spans="22:23">
      <c r="V1686" s="4" t="s">
        <v>743</v>
      </c>
      <c r="W1686" s="4" t="s">
        <v>2400</v>
      </c>
    </row>
    <row r="1687" spans="22:23">
      <c r="V1687" s="4" t="s">
        <v>743</v>
      </c>
      <c r="W1687" s="4" t="s">
        <v>2401</v>
      </c>
    </row>
    <row r="1688" spans="22:23">
      <c r="V1688" s="4" t="s">
        <v>743</v>
      </c>
      <c r="W1688" s="4" t="s">
        <v>2402</v>
      </c>
    </row>
    <row r="1689" spans="22:23">
      <c r="V1689" s="4" t="s">
        <v>743</v>
      </c>
      <c r="W1689" s="4" t="s">
        <v>2403</v>
      </c>
    </row>
    <row r="1690" spans="22:23">
      <c r="V1690" s="4" t="s">
        <v>743</v>
      </c>
      <c r="W1690" s="4" t="s">
        <v>2404</v>
      </c>
    </row>
    <row r="1691" spans="22:23">
      <c r="V1691" s="4" t="s">
        <v>743</v>
      </c>
      <c r="W1691" s="4" t="s">
        <v>2405</v>
      </c>
    </row>
    <row r="1692" spans="22:23">
      <c r="V1692" s="4" t="s">
        <v>743</v>
      </c>
      <c r="W1692" s="4" t="s">
        <v>2406</v>
      </c>
    </row>
    <row r="1693" spans="22:23">
      <c r="V1693" s="4" t="s">
        <v>743</v>
      </c>
      <c r="W1693" s="4" t="s">
        <v>2407</v>
      </c>
    </row>
    <row r="1694" spans="22:23">
      <c r="V1694" s="4" t="s">
        <v>743</v>
      </c>
      <c r="W1694" s="4" t="s">
        <v>2408</v>
      </c>
    </row>
    <row r="1695" spans="22:23">
      <c r="V1695" s="4" t="s">
        <v>743</v>
      </c>
      <c r="W1695" s="4" t="s">
        <v>2409</v>
      </c>
    </row>
    <row r="1696" spans="22:23">
      <c r="V1696" s="4" t="s">
        <v>743</v>
      </c>
      <c r="W1696" s="4" t="s">
        <v>2410</v>
      </c>
    </row>
    <row r="1697" spans="22:23">
      <c r="V1697" s="4" t="s">
        <v>743</v>
      </c>
      <c r="W1697" s="4" t="s">
        <v>2411</v>
      </c>
    </row>
    <row r="1698" spans="22:23">
      <c r="V1698" s="4" t="s">
        <v>743</v>
      </c>
      <c r="W1698" s="4" t="s">
        <v>2412</v>
      </c>
    </row>
    <row r="1699" spans="22:23">
      <c r="V1699" s="4" t="s">
        <v>743</v>
      </c>
      <c r="W1699" s="4" t="s">
        <v>2413</v>
      </c>
    </row>
    <row r="1700" spans="22:23">
      <c r="V1700" s="4" t="s">
        <v>743</v>
      </c>
      <c r="W1700" s="4" t="s">
        <v>2414</v>
      </c>
    </row>
    <row r="1701" spans="22:23">
      <c r="V1701" s="4" t="s">
        <v>743</v>
      </c>
      <c r="W1701" s="4" t="s">
        <v>2415</v>
      </c>
    </row>
    <row r="1702" spans="22:23">
      <c r="V1702" s="4" t="s">
        <v>743</v>
      </c>
      <c r="W1702" s="4" t="s">
        <v>2416</v>
      </c>
    </row>
    <row r="1703" spans="22:23">
      <c r="V1703" s="4" t="s">
        <v>743</v>
      </c>
      <c r="W1703" s="4" t="s">
        <v>2417</v>
      </c>
    </row>
    <row r="1704" spans="22:23">
      <c r="V1704" s="4" t="s">
        <v>743</v>
      </c>
      <c r="W1704" s="4" t="s">
        <v>2418</v>
      </c>
    </row>
    <row r="1705" spans="22:23">
      <c r="V1705" s="4" t="s">
        <v>743</v>
      </c>
      <c r="W1705" s="4" t="s">
        <v>2419</v>
      </c>
    </row>
    <row r="1706" spans="22:23">
      <c r="V1706" s="4" t="s">
        <v>743</v>
      </c>
      <c r="W1706" s="4" t="s">
        <v>2420</v>
      </c>
    </row>
    <row r="1707" spans="22:23">
      <c r="V1707" s="4" t="s">
        <v>743</v>
      </c>
      <c r="W1707" s="4" t="s">
        <v>2421</v>
      </c>
    </row>
    <row r="1708" spans="22:23">
      <c r="V1708" s="4" t="s">
        <v>743</v>
      </c>
      <c r="W1708" s="4" t="s">
        <v>2422</v>
      </c>
    </row>
    <row r="1709" spans="22:23">
      <c r="V1709" s="4" t="s">
        <v>748</v>
      </c>
      <c r="W1709" s="4" t="s">
        <v>2423</v>
      </c>
    </row>
    <row r="1710" spans="22:23">
      <c r="V1710" s="4" t="s">
        <v>748</v>
      </c>
      <c r="W1710" s="4" t="s">
        <v>2424</v>
      </c>
    </row>
    <row r="1711" spans="22:23">
      <c r="V1711" s="4" t="s">
        <v>748</v>
      </c>
      <c r="W1711" s="4" t="s">
        <v>2425</v>
      </c>
    </row>
    <row r="1712" spans="22:23">
      <c r="V1712" s="4" t="s">
        <v>748</v>
      </c>
      <c r="W1712" s="4" t="s">
        <v>2426</v>
      </c>
    </row>
    <row r="1713" spans="22:23">
      <c r="V1713" s="4" t="s">
        <v>748</v>
      </c>
      <c r="W1713" s="4" t="s">
        <v>2427</v>
      </c>
    </row>
    <row r="1714" spans="22:23">
      <c r="V1714" s="4" t="s">
        <v>748</v>
      </c>
      <c r="W1714" s="4" t="s">
        <v>2428</v>
      </c>
    </row>
    <row r="1715" spans="22:23">
      <c r="V1715" s="4" t="s">
        <v>748</v>
      </c>
      <c r="W1715" s="4" t="s">
        <v>2429</v>
      </c>
    </row>
    <row r="1716" spans="22:23">
      <c r="V1716" s="4" t="s">
        <v>748</v>
      </c>
      <c r="W1716" s="4" t="s">
        <v>2430</v>
      </c>
    </row>
    <row r="1717" spans="22:23">
      <c r="V1717" s="4" t="s">
        <v>748</v>
      </c>
      <c r="W1717" s="4" t="s">
        <v>2431</v>
      </c>
    </row>
    <row r="1718" spans="22:23">
      <c r="V1718" s="4" t="s">
        <v>748</v>
      </c>
      <c r="W1718" s="4" t="s">
        <v>2432</v>
      </c>
    </row>
    <row r="1719" spans="22:23">
      <c r="V1719" s="4" t="s">
        <v>748</v>
      </c>
      <c r="W1719" s="4" t="s">
        <v>2433</v>
      </c>
    </row>
    <row r="1720" spans="22:23">
      <c r="V1720" s="4" t="s">
        <v>748</v>
      </c>
      <c r="W1720" s="4" t="s">
        <v>2434</v>
      </c>
    </row>
    <row r="1721" spans="22:23">
      <c r="V1721" s="4" t="s">
        <v>748</v>
      </c>
      <c r="W1721" s="4" t="s">
        <v>2435</v>
      </c>
    </row>
    <row r="1722" spans="22:23">
      <c r="V1722" s="4" t="s">
        <v>748</v>
      </c>
      <c r="W1722" s="4" t="s">
        <v>2436</v>
      </c>
    </row>
    <row r="1723" spans="22:23">
      <c r="V1723" s="4" t="s">
        <v>748</v>
      </c>
      <c r="W1723" s="4" t="s">
        <v>2437</v>
      </c>
    </row>
    <row r="1724" spans="22:23">
      <c r="V1724" s="4" t="s">
        <v>748</v>
      </c>
      <c r="W1724" s="4" t="s">
        <v>2438</v>
      </c>
    </row>
    <row r="1725" spans="22:23">
      <c r="V1725" s="4" t="s">
        <v>748</v>
      </c>
      <c r="W1725" s="4" t="s">
        <v>2439</v>
      </c>
    </row>
    <row r="1726" spans="22:23">
      <c r="V1726" s="4" t="s">
        <v>748</v>
      </c>
      <c r="W1726" s="4" t="s">
        <v>2440</v>
      </c>
    </row>
    <row r="1727" spans="22:23">
      <c r="V1727" s="4" t="s">
        <v>748</v>
      </c>
      <c r="W1727" s="4" t="s">
        <v>2441</v>
      </c>
    </row>
    <row r="1728" spans="22:23">
      <c r="V1728" s="4" t="s">
        <v>748</v>
      </c>
      <c r="W1728" s="4" t="s">
        <v>2442</v>
      </c>
    </row>
    <row r="1729" spans="22:23">
      <c r="V1729" s="4" t="s">
        <v>748</v>
      </c>
      <c r="W1729" s="4" t="s">
        <v>2443</v>
      </c>
    </row>
    <row r="1730" spans="22:23">
      <c r="V1730" s="4" t="s">
        <v>748</v>
      </c>
      <c r="W1730" s="4" t="s">
        <v>2444</v>
      </c>
    </row>
    <row r="1731" spans="22:23">
      <c r="V1731" s="4" t="s">
        <v>748</v>
      </c>
      <c r="W1731" s="4" t="s">
        <v>2445</v>
      </c>
    </row>
    <row r="1732" spans="22:23">
      <c r="V1732" s="4" t="s">
        <v>748</v>
      </c>
      <c r="W1732" s="4" t="s">
        <v>2446</v>
      </c>
    </row>
    <row r="1733" spans="22:23">
      <c r="V1733" s="4" t="s">
        <v>748</v>
      </c>
      <c r="W1733" s="4" t="s">
        <v>2447</v>
      </c>
    </row>
    <row r="1734" spans="22:23">
      <c r="V1734" s="4" t="s">
        <v>748</v>
      </c>
      <c r="W1734" s="4" t="s">
        <v>2448</v>
      </c>
    </row>
    <row r="1735" spans="22:23">
      <c r="V1735" s="4" t="s">
        <v>748</v>
      </c>
      <c r="W1735" s="4" t="s">
        <v>2449</v>
      </c>
    </row>
    <row r="1736" spans="22:23">
      <c r="V1736" s="4" t="s">
        <v>748</v>
      </c>
      <c r="W1736" s="4" t="s">
        <v>2450</v>
      </c>
    </row>
    <row r="1737" spans="22:23">
      <c r="V1737" s="4" t="s">
        <v>748</v>
      </c>
      <c r="W1737" s="4" t="s">
        <v>2451</v>
      </c>
    </row>
    <row r="1738" spans="22:23">
      <c r="V1738" s="4" t="s">
        <v>748</v>
      </c>
      <c r="W1738" s="4" t="s">
        <v>2452</v>
      </c>
    </row>
    <row r="1739" spans="22:23">
      <c r="V1739" s="4" t="s">
        <v>748</v>
      </c>
      <c r="W1739" s="4" t="s">
        <v>2453</v>
      </c>
    </row>
    <row r="1740" spans="22:23">
      <c r="V1740" s="4" t="s">
        <v>748</v>
      </c>
      <c r="W1740" s="4" t="s">
        <v>2454</v>
      </c>
    </row>
    <row r="1741" spans="22:23">
      <c r="V1741" s="4" t="s">
        <v>748</v>
      </c>
      <c r="W1741" s="4" t="s">
        <v>2455</v>
      </c>
    </row>
    <row r="1742" spans="22:23">
      <c r="V1742" s="4" t="s">
        <v>748</v>
      </c>
      <c r="W1742" s="4" t="s">
        <v>2456</v>
      </c>
    </row>
    <row r="1743" spans="22:23">
      <c r="V1743" s="4" t="s">
        <v>748</v>
      </c>
      <c r="W1743" s="4" t="s">
        <v>2457</v>
      </c>
    </row>
    <row r="1744" spans="22:23">
      <c r="V1744" s="4" t="s">
        <v>748</v>
      </c>
      <c r="W1744" s="4" t="s">
        <v>2458</v>
      </c>
    </row>
    <row r="1745" spans="22:23">
      <c r="V1745" s="4" t="s">
        <v>748</v>
      </c>
      <c r="W1745" s="4" t="s">
        <v>2459</v>
      </c>
    </row>
    <row r="1746" spans="22:23">
      <c r="V1746" s="4" t="s">
        <v>748</v>
      </c>
      <c r="W1746" s="4" t="s">
        <v>2460</v>
      </c>
    </row>
    <row r="1747" spans="22:23">
      <c r="V1747" s="4" t="s">
        <v>748</v>
      </c>
      <c r="W1747" s="4" t="s">
        <v>2461</v>
      </c>
    </row>
    <row r="1748" spans="22:23">
      <c r="V1748" s="4" t="s">
        <v>748</v>
      </c>
      <c r="W1748" s="4" t="s">
        <v>2462</v>
      </c>
    </row>
    <row r="1749" spans="22:23" ht="14.25" thickBot="1">
      <c r="V1749" s="5" t="s">
        <v>748</v>
      </c>
      <c r="W1749" s="5" t="s">
        <v>2463</v>
      </c>
    </row>
  </sheetData>
  <sheetProtection algorithmName="SHA-512" hashValue="tTyniuyOSRKoy329fqjt09wMuHVeYeUoO0uEpp3j+U36S8pxJSAAX9K3LI57TQbIKwQS7TvIdD6OSaiaGAOBoQ==" saltValue="xgOdreu8ATTl6O2Y9Xwdwg==" spinCount="100000" sheet="1" objects="1" scenarios="1"/>
  <mergeCells count="9">
    <mergeCell ref="AR51:AU51"/>
    <mergeCell ref="AR52:AU53"/>
    <mergeCell ref="B2:B3"/>
    <mergeCell ref="G2:M2"/>
    <mergeCell ref="A2:A3"/>
    <mergeCell ref="N2:N3"/>
    <mergeCell ref="O2:O3"/>
    <mergeCell ref="C2:F2"/>
    <mergeCell ref="Q2:R2"/>
  </mergeCells>
  <phoneticPr fontId="12"/>
  <pageMargins left="0.75" right="0.75" top="0.73" bottom="0.52" header="0.51200000000000001" footer="0.27"/>
  <pageSetup paperSize="8" scale="10" orientation="landscape" r:id="rId1"/>
  <headerFooter alignWithMargins="0"/>
</worksheet>
</file>

<file path=customXml/_rels/item1.xml.rels>&#65279;<?xml version="1.0" encoding="utf-8" standalone="yes"?>
<Relationships xmlns="http://schemas.openxmlformats.org/package/2006/relationships">
  <Relationship Id="rId1" Type="http://schemas.openxmlformats.org/officeDocument/2006/relationships/customXmlProps" Target="itemProps1.xml" />
</Relationships>
</file>

<file path=customXml/_rels/item2.xml.rels>&#65279;<?xml version="1.0" encoding="utf-8" standalone="yes"?>
<Relationships xmlns="http://schemas.openxmlformats.org/package/2006/relationships">
  <Relationship Id="rId1" Type="http://schemas.openxmlformats.org/officeDocument/2006/relationships/customXmlProps" Target="itemProps2.xml" />
</Relationships>
</file>

<file path=customXml/_rels/item3.xml.rels>&#65279;<?xml version="1.0" encoding="utf-8" standalone="yes"?>
<Relationships xmlns="http://schemas.openxmlformats.org/package/2006/relationships">
  <Relationship Id="rId1" Type="http://schemas.openxmlformats.org/officeDocument/2006/relationships/customXmlProps" Target="itemProps3.xml" />
</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93E00C-19D3-4183-B17F-8D16ECF45F62}">
  <ds:schemaRefs>
    <ds:schemaRef ds:uri="http://schemas.microsoft.com/sharepoint/v3/contenttype/forms"/>
  </ds:schemaRefs>
</ds:datastoreItem>
</file>

<file path=customXml/itemProps2.xml><?xml version="1.0" encoding="utf-8"?>
<ds:datastoreItem xmlns:ds="http://schemas.openxmlformats.org/officeDocument/2006/customXml" ds:itemID="{BA5713DF-67F2-421A-B467-23CE57B6BF52}">
  <ds:schemaRefs>
    <ds:schemaRef ds:uri="http://purl.org/dc/elements/1.1/"/>
    <ds:schemaRef ds:uri="http://schemas.microsoft.com/office/2006/metadata/properties"/>
    <ds:schemaRef ds:uri="http://schemas.microsoft.com/office/2006/documentManagement/types"/>
    <ds:schemaRef ds:uri="http://purl.org/dc/terms/"/>
    <ds:schemaRef ds:uri="http://www.w3.org/XML/1998/namespace"/>
    <ds:schemaRef ds:uri="http://purl.org/dc/dcmitype/"/>
    <ds:schemaRef ds:uri="http://schemas.microsoft.com/office/infopath/2007/PartnerControls"/>
    <ds:schemaRef ds:uri="http://schemas.openxmlformats.org/package/2006/metadata/core-properties"/>
    <ds:schemaRef ds:uri="e60fd174-b192-4fdb-8980-a9c623028ceb"/>
    <ds:schemaRef ds:uri="263dbbe5-076b-4606-a03b-9598f5f2f35a"/>
  </ds:schemaRefs>
</ds:datastoreItem>
</file>

<file path=customXml/itemProps3.xml><?xml version="1.0" encoding="utf-8"?>
<ds:datastoreItem xmlns:ds="http://schemas.openxmlformats.org/officeDocument/2006/customXml" ds:itemID="{AEBBFAD9-A83A-4EF2-8807-00F86AF41C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0x010100B46734693C3A90448B89DA794EB2C0AC</vt:lpwstr>
  </property>
</Properties>
</file>